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97b1549e5fdab69caa8f31f8f6ffe58acdc4fdc4/49008056514/849af660-6fd7-4b40-ad67-c2a23db2e57d/"/>
    </mc:Choice>
  </mc:AlternateContent>
  <xr:revisionPtr revIDLastSave="0" documentId="13_ncr:1_{9832A2D6-5120-4303-A770-92D799B4CE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1. Justiitsministeerium" sheetId="1" r:id="rId1"/>
  </sheets>
  <externalReferences>
    <externalReference r:id="rId2"/>
  </externalReferences>
  <definedNames>
    <definedName name="_xlnm._FilterDatabase" localSheetId="0" hidden="1">'Lisa 1. Justiitsministeerium'!$A$5:$V$171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9" i="1" l="1"/>
  <c r="V51" i="1"/>
  <c r="V52" i="1"/>
  <c r="V48" i="1"/>
  <c r="H1" i="1"/>
  <c r="K17" i="1"/>
  <c r="H17" i="1"/>
  <c r="E17" i="1"/>
  <c r="V40" i="1"/>
  <c r="V101" i="1"/>
  <c r="V106" i="1"/>
  <c r="U8" i="1"/>
  <c r="U42" i="1"/>
  <c r="U37" i="1" s="1"/>
  <c r="U103" i="1"/>
  <c r="U98" i="1"/>
  <c r="U7" i="1" l="1"/>
  <c r="U147" i="1"/>
  <c r="U142" i="1"/>
  <c r="U138" i="1"/>
  <c r="U130" i="1"/>
  <c r="U126" i="1"/>
  <c r="U121" i="1"/>
  <c r="U113" i="1"/>
  <c r="U108" i="1"/>
  <c r="U89" i="1"/>
  <c r="U85" i="1"/>
  <c r="U74" i="1"/>
  <c r="U66" i="1"/>
  <c r="U63" i="1"/>
  <c r="U50" i="1"/>
  <c r="U44" i="1"/>
  <c r="U34" i="1"/>
  <c r="U26" i="1"/>
  <c r="U22" i="1"/>
  <c r="U19" i="1"/>
  <c r="U18" i="1"/>
  <c r="U17" i="1"/>
  <c r="U14" i="1" l="1"/>
  <c r="U15" i="1"/>
  <c r="U137" i="1"/>
  <c r="U21" i="1"/>
  <c r="U13" i="1"/>
  <c r="U12" i="1"/>
  <c r="U10" i="1"/>
  <c r="U16" i="1"/>
  <c r="U11" i="1"/>
  <c r="U97" i="1"/>
  <c r="U84" i="1"/>
  <c r="U33" i="1"/>
  <c r="U62" i="1"/>
  <c r="U120" i="1"/>
  <c r="U9" i="1" l="1"/>
  <c r="U6" i="1" s="1"/>
  <c r="E18" i="1" l="1"/>
  <c r="S18" i="1"/>
  <c r="S44" i="1"/>
  <c r="S26" i="1"/>
  <c r="S17" i="1"/>
  <c r="Q8" i="1" l="1"/>
  <c r="Q18" i="1"/>
  <c r="T42" i="1"/>
  <c r="V42" i="1" s="1"/>
  <c r="Q37" i="1" l="1"/>
  <c r="R37" i="1"/>
  <c r="S37" i="1"/>
  <c r="S79" i="1"/>
  <c r="S74" i="1" s="1"/>
  <c r="T64" i="1" l="1"/>
  <c r="V64" i="1" s="1"/>
  <c r="T65" i="1"/>
  <c r="V65" i="1" s="1"/>
  <c r="R63" i="1"/>
  <c r="S63" i="1"/>
  <c r="Q63" i="1"/>
  <c r="T63" i="1" l="1"/>
  <c r="V63" i="1" s="1"/>
  <c r="R147" i="1"/>
  <c r="S147" i="1"/>
  <c r="Q147" i="1"/>
  <c r="R142" i="1"/>
  <c r="S142" i="1"/>
  <c r="Q142" i="1"/>
  <c r="R138" i="1"/>
  <c r="S138" i="1"/>
  <c r="Q138" i="1"/>
  <c r="R130" i="1"/>
  <c r="S130" i="1"/>
  <c r="Q130" i="1"/>
  <c r="R126" i="1"/>
  <c r="S126" i="1"/>
  <c r="Q126" i="1"/>
  <c r="R121" i="1"/>
  <c r="S121" i="1"/>
  <c r="Q121" i="1"/>
  <c r="R113" i="1"/>
  <c r="S113" i="1"/>
  <c r="Q113" i="1"/>
  <c r="R108" i="1"/>
  <c r="S108" i="1"/>
  <c r="Q108" i="1"/>
  <c r="R103" i="1"/>
  <c r="S103" i="1"/>
  <c r="Q103" i="1"/>
  <c r="R98" i="1"/>
  <c r="S98" i="1"/>
  <c r="Q98" i="1"/>
  <c r="R89" i="1"/>
  <c r="S89" i="1"/>
  <c r="Q89" i="1"/>
  <c r="R85" i="1"/>
  <c r="S85" i="1"/>
  <c r="Q85" i="1"/>
  <c r="R74" i="1"/>
  <c r="Q74" i="1"/>
  <c r="R66" i="1"/>
  <c r="R62" i="1" s="1"/>
  <c r="S66" i="1"/>
  <c r="S12" i="1" s="1"/>
  <c r="Q66" i="1"/>
  <c r="R50" i="1"/>
  <c r="S50" i="1"/>
  <c r="Q50" i="1"/>
  <c r="R44" i="1"/>
  <c r="Q44" i="1"/>
  <c r="R34" i="1"/>
  <c r="S34" i="1"/>
  <c r="S11" i="1" s="1"/>
  <c r="Q34" i="1"/>
  <c r="R26" i="1"/>
  <c r="Q26" i="1"/>
  <c r="R22" i="1"/>
  <c r="S22" i="1"/>
  <c r="S10" i="1" s="1"/>
  <c r="Q22" i="1"/>
  <c r="R7" i="1"/>
  <c r="S7" i="1"/>
  <c r="R8" i="1"/>
  <c r="S8" i="1"/>
  <c r="R17" i="1"/>
  <c r="R18" i="1"/>
  <c r="R19" i="1"/>
  <c r="S19" i="1"/>
  <c r="Q19" i="1"/>
  <c r="Q17" i="1"/>
  <c r="Q7" i="1"/>
  <c r="Q12" i="1" l="1"/>
  <c r="R12" i="1"/>
  <c r="R120" i="1"/>
  <c r="Q33" i="1"/>
  <c r="Q11" i="1"/>
  <c r="R84" i="1"/>
  <c r="Q62" i="1"/>
  <c r="Q10" i="1"/>
  <c r="S15" i="1"/>
  <c r="R15" i="1"/>
  <c r="S137" i="1"/>
  <c r="S62" i="1"/>
  <c r="S120" i="1"/>
  <c r="Q16" i="1"/>
  <c r="S84" i="1"/>
  <c r="R137" i="1"/>
  <c r="Q137" i="1"/>
  <c r="S16" i="1"/>
  <c r="R16" i="1"/>
  <c r="Q120" i="1"/>
  <c r="Q15" i="1"/>
  <c r="S97" i="1"/>
  <c r="R97" i="1"/>
  <c r="Q97" i="1"/>
  <c r="S14" i="1"/>
  <c r="R14" i="1"/>
  <c r="Q14" i="1"/>
  <c r="Q13" i="1"/>
  <c r="Q84" i="1"/>
  <c r="S13" i="1"/>
  <c r="S9" i="1" s="1"/>
  <c r="S6" i="1" s="1"/>
  <c r="R13" i="1"/>
  <c r="R33" i="1"/>
  <c r="S33" i="1"/>
  <c r="R11" i="1"/>
  <c r="R21" i="1"/>
  <c r="Q21" i="1"/>
  <c r="R10" i="1"/>
  <c r="S21" i="1"/>
  <c r="Q9" i="1" l="1"/>
  <c r="Q6" i="1" s="1"/>
  <c r="R9" i="1"/>
  <c r="R6" i="1" s="1"/>
  <c r="O74" i="1" l="1"/>
  <c r="N147" i="1"/>
  <c r="O147" i="1"/>
  <c r="P77" i="1"/>
  <c r="T77" i="1" s="1"/>
  <c r="V77" i="1" s="1"/>
  <c r="N44" i="1" l="1"/>
  <c r="O37" i="1"/>
  <c r="O66" i="1"/>
  <c r="N66" i="1"/>
  <c r="N79" i="1"/>
  <c r="N74" i="1" s="1"/>
  <c r="N8" i="1"/>
  <c r="O8" i="1"/>
  <c r="F8" i="1"/>
  <c r="G8" i="1"/>
  <c r="L8" i="1"/>
  <c r="N51" i="1"/>
  <c r="N50" i="1" s="1"/>
  <c r="N41" i="1"/>
  <c r="N37" i="1" s="1"/>
  <c r="P152" i="1"/>
  <c r="T152" i="1" s="1"/>
  <c r="V152" i="1" s="1"/>
  <c r="P153" i="1"/>
  <c r="T153" i="1" s="1"/>
  <c r="V153" i="1" s="1"/>
  <c r="P145" i="1"/>
  <c r="T145" i="1" s="1"/>
  <c r="V145" i="1" s="1"/>
  <c r="O142" i="1"/>
  <c r="N142" i="1"/>
  <c r="O138" i="1"/>
  <c r="N138" i="1"/>
  <c r="N16" i="1" s="1"/>
  <c r="O126" i="1"/>
  <c r="N126" i="1"/>
  <c r="O130" i="1"/>
  <c r="N130" i="1"/>
  <c r="P128" i="1"/>
  <c r="T128" i="1" s="1"/>
  <c r="V128" i="1" s="1"/>
  <c r="P133" i="1"/>
  <c r="T133" i="1" s="1"/>
  <c r="V133" i="1" s="1"/>
  <c r="O121" i="1"/>
  <c r="N121" i="1"/>
  <c r="O98" i="1"/>
  <c r="N98" i="1"/>
  <c r="O103" i="1"/>
  <c r="N103" i="1"/>
  <c r="N108" i="1"/>
  <c r="P116" i="1"/>
  <c r="T116" i="1" s="1"/>
  <c r="V116" i="1" s="1"/>
  <c r="O113" i="1"/>
  <c r="N113" i="1"/>
  <c r="P111" i="1"/>
  <c r="T111" i="1" s="1"/>
  <c r="V111" i="1" s="1"/>
  <c r="O108" i="1"/>
  <c r="P105" i="1"/>
  <c r="T105" i="1" s="1"/>
  <c r="V105" i="1" s="1"/>
  <c r="P100" i="1"/>
  <c r="T100" i="1" s="1"/>
  <c r="V100" i="1" s="1"/>
  <c r="P92" i="1"/>
  <c r="T92" i="1" s="1"/>
  <c r="V92" i="1" s="1"/>
  <c r="P93" i="1"/>
  <c r="T93" i="1" s="1"/>
  <c r="V93" i="1" s="1"/>
  <c r="O89" i="1"/>
  <c r="N89" i="1"/>
  <c r="P87" i="1"/>
  <c r="T87" i="1" s="1"/>
  <c r="V87" i="1" s="1"/>
  <c r="O85" i="1"/>
  <c r="N85" i="1"/>
  <c r="P78" i="1"/>
  <c r="T78" i="1" s="1"/>
  <c r="V78" i="1" s="1"/>
  <c r="P68" i="1"/>
  <c r="T68" i="1" s="1"/>
  <c r="V68" i="1" s="1"/>
  <c r="P47" i="1"/>
  <c r="T47" i="1" s="1"/>
  <c r="V47" i="1" s="1"/>
  <c r="O44" i="1"/>
  <c r="P39" i="1"/>
  <c r="T39" i="1" s="1"/>
  <c r="V39" i="1" s="1"/>
  <c r="O34" i="1"/>
  <c r="O50" i="1"/>
  <c r="N34" i="1"/>
  <c r="P29" i="1"/>
  <c r="T29" i="1" s="1"/>
  <c r="V29" i="1" s="1"/>
  <c r="N22" i="1"/>
  <c r="O26" i="1"/>
  <c r="N26" i="1"/>
  <c r="P24" i="1"/>
  <c r="T24" i="1" s="1"/>
  <c r="V24" i="1" s="1"/>
  <c r="O22" i="1"/>
  <c r="P20" i="1"/>
  <c r="T20" i="1" s="1"/>
  <c r="V20" i="1" s="1"/>
  <c r="P59" i="1"/>
  <c r="T59" i="1" s="1"/>
  <c r="V59" i="1" s="1"/>
  <c r="O17" i="1"/>
  <c r="O18" i="1"/>
  <c r="O19" i="1"/>
  <c r="N19" i="1"/>
  <c r="N18" i="1"/>
  <c r="N17" i="1"/>
  <c r="N12" i="1" l="1"/>
  <c r="N7" i="1"/>
  <c r="N62" i="1"/>
  <c r="O14" i="1"/>
  <c r="O15" i="1"/>
  <c r="O84" i="1"/>
  <c r="N33" i="1"/>
  <c r="H8" i="1"/>
  <c r="O16" i="1"/>
  <c r="N21" i="1"/>
  <c r="O21" i="1"/>
  <c r="O120" i="1"/>
  <c r="N11" i="1"/>
  <c r="O137" i="1"/>
  <c r="N137" i="1"/>
  <c r="N15" i="1"/>
  <c r="N120" i="1"/>
  <c r="O97" i="1"/>
  <c r="N14" i="1"/>
  <c r="N97" i="1"/>
  <c r="O13" i="1"/>
  <c r="N13" i="1"/>
  <c r="N84" i="1"/>
  <c r="O62" i="1"/>
  <c r="O12" i="1"/>
  <c r="O11" i="1"/>
  <c r="O33" i="1"/>
  <c r="O10" i="1"/>
  <c r="N10" i="1"/>
  <c r="O9" i="1" l="1"/>
  <c r="O6" i="1" s="1"/>
  <c r="N9" i="1"/>
  <c r="N6" i="1" s="1"/>
  <c r="J7" i="1" l="1"/>
  <c r="M4" i="1"/>
  <c r="K165" i="1"/>
  <c r="K7" i="1"/>
  <c r="M54" i="1"/>
  <c r="P54" i="1" s="1"/>
  <c r="T54" i="1" s="1"/>
  <c r="V54" i="1" s="1"/>
  <c r="M55" i="1"/>
  <c r="P55" i="1" s="1"/>
  <c r="T55" i="1" s="1"/>
  <c r="V55" i="1" s="1"/>
  <c r="M56" i="1"/>
  <c r="P56" i="1" s="1"/>
  <c r="T56" i="1" s="1"/>
  <c r="V56" i="1" s="1"/>
  <c r="M57" i="1"/>
  <c r="P57" i="1" s="1"/>
  <c r="T57" i="1" s="1"/>
  <c r="V57" i="1" s="1"/>
  <c r="M58" i="1"/>
  <c r="P58" i="1" s="1"/>
  <c r="T58" i="1" s="1"/>
  <c r="V58" i="1" s="1"/>
  <c r="J53" i="1"/>
  <c r="J8" i="1" s="1"/>
  <c r="K53" i="1"/>
  <c r="K8" i="1" s="1"/>
  <c r="L53" i="1"/>
  <c r="I53" i="1"/>
  <c r="J44" i="1"/>
  <c r="K44" i="1"/>
  <c r="L44" i="1"/>
  <c r="I44" i="1"/>
  <c r="M53" i="1" l="1"/>
  <c r="P53" i="1" s="1"/>
  <c r="T53" i="1" s="1"/>
  <c r="V53" i="1" s="1"/>
  <c r="I8" i="1"/>
  <c r="M8" i="1" s="1"/>
  <c r="P8" i="1" s="1"/>
  <c r="T8" i="1" s="1"/>
  <c r="V8" i="1" s="1"/>
  <c r="K19" i="1"/>
  <c r="J19" i="1"/>
  <c r="L19" i="1"/>
  <c r="I19" i="1"/>
  <c r="H51" i="1" l="1"/>
  <c r="M51" i="1" s="1"/>
  <c r="P51" i="1" s="1"/>
  <c r="T51" i="1" s="1"/>
  <c r="M166" i="1"/>
  <c r="P166" i="1" s="1"/>
  <c r="T166" i="1" s="1"/>
  <c r="V166" i="1" s="1"/>
  <c r="K157" i="1"/>
  <c r="M171" i="1" l="1"/>
  <c r="P171" i="1" s="1"/>
  <c r="T171" i="1" s="1"/>
  <c r="V171" i="1" s="1"/>
  <c r="J75" i="1" l="1"/>
  <c r="M167" i="1" l="1"/>
  <c r="P167" i="1" s="1"/>
  <c r="T167" i="1" s="1"/>
  <c r="V167" i="1" s="1"/>
  <c r="M168" i="1"/>
  <c r="P168" i="1" s="1"/>
  <c r="T168" i="1" s="1"/>
  <c r="V168" i="1" s="1"/>
  <c r="M169" i="1"/>
  <c r="P169" i="1" s="1"/>
  <c r="T169" i="1" s="1"/>
  <c r="V169" i="1" s="1"/>
  <c r="M170" i="1"/>
  <c r="P170" i="1" s="1"/>
  <c r="T170" i="1" s="1"/>
  <c r="V170" i="1" s="1"/>
  <c r="G7" i="1" l="1"/>
  <c r="L7" i="1"/>
  <c r="G19" i="1"/>
  <c r="G18" i="1"/>
  <c r="J17" i="1"/>
  <c r="L17" i="1"/>
  <c r="I17" i="1"/>
  <c r="G17" i="1"/>
  <c r="J157" i="1"/>
  <c r="L157" i="1"/>
  <c r="I157" i="1"/>
  <c r="J138" i="1"/>
  <c r="K138" i="1"/>
  <c r="L138" i="1"/>
  <c r="I138" i="1"/>
  <c r="I147" i="1"/>
  <c r="K147" i="1"/>
  <c r="L147" i="1"/>
  <c r="J147" i="1"/>
  <c r="M151" i="1"/>
  <c r="P151" i="1" s="1"/>
  <c r="T151" i="1" s="1"/>
  <c r="V151" i="1" s="1"/>
  <c r="J142" i="1"/>
  <c r="K142" i="1"/>
  <c r="L142" i="1"/>
  <c r="I142" i="1"/>
  <c r="M144" i="1"/>
  <c r="P144" i="1" s="1"/>
  <c r="T144" i="1" s="1"/>
  <c r="V144" i="1" s="1"/>
  <c r="J130" i="1"/>
  <c r="K130" i="1"/>
  <c r="L130" i="1"/>
  <c r="I130" i="1"/>
  <c r="J126" i="1"/>
  <c r="K126" i="1"/>
  <c r="L126" i="1"/>
  <c r="I126" i="1"/>
  <c r="J121" i="1"/>
  <c r="K121" i="1"/>
  <c r="L121" i="1"/>
  <c r="I121" i="1"/>
  <c r="J113" i="1"/>
  <c r="K113" i="1"/>
  <c r="L113" i="1"/>
  <c r="I113" i="1"/>
  <c r="J108" i="1"/>
  <c r="K108" i="1"/>
  <c r="L108" i="1"/>
  <c r="I108" i="1"/>
  <c r="J103" i="1"/>
  <c r="K103" i="1"/>
  <c r="L103" i="1"/>
  <c r="I103" i="1"/>
  <c r="J98" i="1"/>
  <c r="K98" i="1"/>
  <c r="L98" i="1"/>
  <c r="I98" i="1"/>
  <c r="J89" i="1"/>
  <c r="K89" i="1"/>
  <c r="L89" i="1"/>
  <c r="I89" i="1"/>
  <c r="J85" i="1"/>
  <c r="K85" i="1"/>
  <c r="L85" i="1"/>
  <c r="I85" i="1"/>
  <c r="M165" i="1"/>
  <c r="P165" i="1" s="1"/>
  <c r="T165" i="1" s="1"/>
  <c r="V165" i="1" s="1"/>
  <c r="M162" i="1"/>
  <c r="P162" i="1" s="1"/>
  <c r="T162" i="1" s="1"/>
  <c r="V162" i="1" s="1"/>
  <c r="M72" i="1"/>
  <c r="P72" i="1" s="1"/>
  <c r="T72" i="1" s="1"/>
  <c r="V72" i="1" s="1"/>
  <c r="M73" i="1"/>
  <c r="P73" i="1" s="1"/>
  <c r="T73" i="1" s="1"/>
  <c r="V73" i="1" s="1"/>
  <c r="M80" i="1"/>
  <c r="P80" i="1" s="1"/>
  <c r="T80" i="1" s="1"/>
  <c r="V80" i="1" s="1"/>
  <c r="J66" i="1"/>
  <c r="L74" i="1"/>
  <c r="J74" i="1"/>
  <c r="K74" i="1"/>
  <c r="K16" i="1" l="1"/>
  <c r="K97" i="1"/>
  <c r="L97" i="1"/>
  <c r="L15" i="1"/>
  <c r="J97" i="1"/>
  <c r="I84" i="1"/>
  <c r="K15" i="1"/>
  <c r="J120" i="1"/>
  <c r="J12" i="1"/>
  <c r="J84" i="1"/>
  <c r="I14" i="1"/>
  <c r="J137" i="1"/>
  <c r="I13" i="1"/>
  <c r="L84" i="1"/>
  <c r="L14" i="1"/>
  <c r="I137" i="1"/>
  <c r="K84" i="1"/>
  <c r="K14" i="1"/>
  <c r="L137" i="1"/>
  <c r="L13" i="1"/>
  <c r="J13" i="1"/>
  <c r="J14" i="1"/>
  <c r="I15" i="1"/>
  <c r="I120" i="1"/>
  <c r="K137" i="1"/>
  <c r="J15" i="1"/>
  <c r="K13" i="1"/>
  <c r="L16" i="1"/>
  <c r="I16" i="1"/>
  <c r="L120" i="1"/>
  <c r="J16" i="1"/>
  <c r="K120" i="1"/>
  <c r="I97" i="1"/>
  <c r="J62" i="1"/>
  <c r="I66" i="1" l="1"/>
  <c r="I79" i="1"/>
  <c r="K66" i="1"/>
  <c r="L66" i="1"/>
  <c r="K62" i="1" l="1"/>
  <c r="K12" i="1"/>
  <c r="L62" i="1"/>
  <c r="L12" i="1"/>
  <c r="I74" i="1"/>
  <c r="I12" i="1" s="1"/>
  <c r="I7" i="1"/>
  <c r="J50" i="1"/>
  <c r="J18" i="1" s="1"/>
  <c r="K50" i="1"/>
  <c r="K18" i="1" s="1"/>
  <c r="L50" i="1"/>
  <c r="L18" i="1" s="1"/>
  <c r="I50" i="1"/>
  <c r="I18" i="1" s="1"/>
  <c r="J37" i="1"/>
  <c r="K37" i="1"/>
  <c r="L37" i="1"/>
  <c r="I37" i="1"/>
  <c r="M25" i="1"/>
  <c r="P25" i="1" s="1"/>
  <c r="T25" i="1" s="1"/>
  <c r="V25" i="1" s="1"/>
  <c r="M30" i="1"/>
  <c r="P30" i="1" s="1"/>
  <c r="T30" i="1" s="1"/>
  <c r="V30" i="1" s="1"/>
  <c r="M32" i="1"/>
  <c r="P32" i="1" s="1"/>
  <c r="T32" i="1" s="1"/>
  <c r="V32" i="1" s="1"/>
  <c r="M36" i="1"/>
  <c r="P36" i="1" s="1"/>
  <c r="T36" i="1" s="1"/>
  <c r="V36" i="1" s="1"/>
  <c r="M43" i="1"/>
  <c r="P43" i="1" s="1"/>
  <c r="T43" i="1" s="1"/>
  <c r="V43" i="1" s="1"/>
  <c r="M49" i="1"/>
  <c r="P49" i="1" s="1"/>
  <c r="T49" i="1" s="1"/>
  <c r="M61" i="1"/>
  <c r="P61" i="1" s="1"/>
  <c r="T61" i="1" s="1"/>
  <c r="V61" i="1" s="1"/>
  <c r="M81" i="1"/>
  <c r="P81" i="1" s="1"/>
  <c r="T81" i="1" s="1"/>
  <c r="V81" i="1" s="1"/>
  <c r="M83" i="1"/>
  <c r="P83" i="1" s="1"/>
  <c r="T83" i="1" s="1"/>
  <c r="V83" i="1" s="1"/>
  <c r="M88" i="1"/>
  <c r="P88" i="1" s="1"/>
  <c r="T88" i="1" s="1"/>
  <c r="V88" i="1" s="1"/>
  <c r="M94" i="1"/>
  <c r="P94" i="1" s="1"/>
  <c r="T94" i="1" s="1"/>
  <c r="V94" i="1" s="1"/>
  <c r="M96" i="1"/>
  <c r="P96" i="1" s="1"/>
  <c r="T96" i="1" s="1"/>
  <c r="V96" i="1" s="1"/>
  <c r="M102" i="1"/>
  <c r="P102" i="1" s="1"/>
  <c r="T102" i="1" s="1"/>
  <c r="V102" i="1" s="1"/>
  <c r="M107" i="1"/>
  <c r="P107" i="1" s="1"/>
  <c r="T107" i="1" s="1"/>
  <c r="V107" i="1" s="1"/>
  <c r="M112" i="1"/>
  <c r="P112" i="1" s="1"/>
  <c r="T112" i="1" s="1"/>
  <c r="V112" i="1" s="1"/>
  <c r="M117" i="1"/>
  <c r="P117" i="1" s="1"/>
  <c r="T117" i="1" s="1"/>
  <c r="V117" i="1" s="1"/>
  <c r="M119" i="1"/>
  <c r="P119" i="1" s="1"/>
  <c r="T119" i="1" s="1"/>
  <c r="V119" i="1" s="1"/>
  <c r="M125" i="1"/>
  <c r="P125" i="1" s="1"/>
  <c r="T125" i="1" s="1"/>
  <c r="V125" i="1" s="1"/>
  <c r="M129" i="1"/>
  <c r="P129" i="1" s="1"/>
  <c r="T129" i="1" s="1"/>
  <c r="V129" i="1" s="1"/>
  <c r="M134" i="1"/>
  <c r="P134" i="1" s="1"/>
  <c r="T134" i="1" s="1"/>
  <c r="V134" i="1" s="1"/>
  <c r="M136" i="1"/>
  <c r="P136" i="1" s="1"/>
  <c r="T136" i="1" s="1"/>
  <c r="V136" i="1" s="1"/>
  <c r="M141" i="1"/>
  <c r="P141" i="1" s="1"/>
  <c r="T141" i="1" s="1"/>
  <c r="V141" i="1" s="1"/>
  <c r="M146" i="1"/>
  <c r="P146" i="1" s="1"/>
  <c r="T146" i="1" s="1"/>
  <c r="V146" i="1" s="1"/>
  <c r="M154" i="1"/>
  <c r="P154" i="1" s="1"/>
  <c r="T154" i="1" s="1"/>
  <c r="V154" i="1" s="1"/>
  <c r="M156" i="1"/>
  <c r="P156" i="1" s="1"/>
  <c r="T156" i="1" s="1"/>
  <c r="V156" i="1" s="1"/>
  <c r="J26" i="1"/>
  <c r="K26" i="1"/>
  <c r="L26" i="1"/>
  <c r="I26" i="1"/>
  <c r="J22" i="1"/>
  <c r="K22" i="1"/>
  <c r="L22" i="1"/>
  <c r="L10" i="1" s="1"/>
  <c r="I22" i="1"/>
  <c r="I10" i="1" s="1"/>
  <c r="J21" i="1" l="1"/>
  <c r="J10" i="1"/>
  <c r="K33" i="1"/>
  <c r="K11" i="1"/>
  <c r="I33" i="1"/>
  <c r="I11" i="1"/>
  <c r="I9" i="1" s="1"/>
  <c r="I6" i="1" s="1"/>
  <c r="J11" i="1"/>
  <c r="J33" i="1"/>
  <c r="K10" i="1"/>
  <c r="I62" i="1"/>
  <c r="I21" i="1"/>
  <c r="L33" i="1"/>
  <c r="L11" i="1"/>
  <c r="L9" i="1" s="1"/>
  <c r="L6" i="1" s="1"/>
  <c r="L21" i="1"/>
  <c r="K21" i="1"/>
  <c r="K9" i="1" l="1"/>
  <c r="K6" i="1" s="1"/>
  <c r="J9" i="1"/>
  <c r="J6" i="1" s="1"/>
  <c r="G37" i="1"/>
  <c r="G66" i="1"/>
  <c r="G147" i="1" l="1"/>
  <c r="H150" i="1"/>
  <c r="M150" i="1" s="1"/>
  <c r="P150" i="1" s="1"/>
  <c r="T150" i="1" s="1"/>
  <c r="V150" i="1" s="1"/>
  <c r="H149" i="1"/>
  <c r="M149" i="1" s="1"/>
  <c r="P149" i="1" s="1"/>
  <c r="T149" i="1" s="1"/>
  <c r="V149" i="1" s="1"/>
  <c r="F147" i="1"/>
  <c r="E147" i="1"/>
  <c r="F142" i="1"/>
  <c r="G142" i="1"/>
  <c r="F138" i="1"/>
  <c r="G138" i="1"/>
  <c r="F157" i="1"/>
  <c r="G157" i="1"/>
  <c r="F130" i="1"/>
  <c r="G130" i="1"/>
  <c r="F126" i="1"/>
  <c r="G126" i="1"/>
  <c r="F121" i="1"/>
  <c r="G121" i="1"/>
  <c r="F113" i="1"/>
  <c r="G113" i="1"/>
  <c r="F108" i="1"/>
  <c r="G108" i="1"/>
  <c r="F103" i="1"/>
  <c r="G103" i="1"/>
  <c r="F98" i="1"/>
  <c r="G98" i="1"/>
  <c r="F89" i="1"/>
  <c r="G89" i="1"/>
  <c r="G50" i="1"/>
  <c r="F50" i="1"/>
  <c r="F74" i="1"/>
  <c r="F85" i="1"/>
  <c r="G85" i="1"/>
  <c r="H71" i="1"/>
  <c r="M71" i="1" s="1"/>
  <c r="P71" i="1" s="1"/>
  <c r="T71" i="1" s="1"/>
  <c r="V71" i="1" s="1"/>
  <c r="F70" i="1"/>
  <c r="F66" i="1" s="1"/>
  <c r="G74" i="1"/>
  <c r="H69" i="1"/>
  <c r="M69" i="1" s="1"/>
  <c r="P69" i="1" s="1"/>
  <c r="T69" i="1" s="1"/>
  <c r="V69" i="1" s="1"/>
  <c r="H75" i="1"/>
  <c r="M75" i="1" s="1"/>
  <c r="P75" i="1" s="1"/>
  <c r="T75" i="1" s="1"/>
  <c r="V75" i="1" s="1"/>
  <c r="H76" i="1"/>
  <c r="M76" i="1" s="1"/>
  <c r="P76" i="1" s="1"/>
  <c r="T76" i="1" s="1"/>
  <c r="V76" i="1" s="1"/>
  <c r="H79" i="1"/>
  <c r="M79" i="1" s="1"/>
  <c r="P79" i="1" s="1"/>
  <c r="T79" i="1" s="1"/>
  <c r="V79" i="1" s="1"/>
  <c r="H82" i="1"/>
  <c r="M82" i="1" s="1"/>
  <c r="P82" i="1" s="1"/>
  <c r="T82" i="1" s="1"/>
  <c r="V82" i="1" s="1"/>
  <c r="H90" i="1"/>
  <c r="M90" i="1" s="1"/>
  <c r="P90" i="1" s="1"/>
  <c r="T90" i="1" s="1"/>
  <c r="V90" i="1" s="1"/>
  <c r="H91" i="1"/>
  <c r="M91" i="1" s="1"/>
  <c r="P91" i="1" s="1"/>
  <c r="T91" i="1" s="1"/>
  <c r="V91" i="1" s="1"/>
  <c r="H95" i="1"/>
  <c r="M95" i="1" s="1"/>
  <c r="P95" i="1" s="1"/>
  <c r="T95" i="1" s="1"/>
  <c r="V95" i="1" s="1"/>
  <c r="H99" i="1"/>
  <c r="M99" i="1" s="1"/>
  <c r="P99" i="1" s="1"/>
  <c r="T99" i="1" s="1"/>
  <c r="V99" i="1" s="1"/>
  <c r="H109" i="1"/>
  <c r="M109" i="1" s="1"/>
  <c r="P109" i="1" s="1"/>
  <c r="T109" i="1" s="1"/>
  <c r="V109" i="1" s="1"/>
  <c r="H110" i="1"/>
  <c r="M110" i="1" s="1"/>
  <c r="P110" i="1" s="1"/>
  <c r="T110" i="1" s="1"/>
  <c r="V110" i="1" s="1"/>
  <c r="H114" i="1"/>
  <c r="M114" i="1" s="1"/>
  <c r="P114" i="1" s="1"/>
  <c r="T114" i="1" s="1"/>
  <c r="V114" i="1" s="1"/>
  <c r="H115" i="1"/>
  <c r="M115" i="1" s="1"/>
  <c r="P115" i="1" s="1"/>
  <c r="T115" i="1" s="1"/>
  <c r="V115" i="1" s="1"/>
  <c r="H118" i="1"/>
  <c r="M118" i="1" s="1"/>
  <c r="P118" i="1" s="1"/>
  <c r="T118" i="1" s="1"/>
  <c r="V118" i="1" s="1"/>
  <c r="H122" i="1"/>
  <c r="M122" i="1" s="1"/>
  <c r="P122" i="1" s="1"/>
  <c r="T122" i="1" s="1"/>
  <c r="V122" i="1" s="1"/>
  <c r="H123" i="1"/>
  <c r="M123" i="1" s="1"/>
  <c r="P123" i="1" s="1"/>
  <c r="T123" i="1" s="1"/>
  <c r="V123" i="1" s="1"/>
  <c r="H124" i="1"/>
  <c r="M124" i="1" s="1"/>
  <c r="P124" i="1" s="1"/>
  <c r="T124" i="1" s="1"/>
  <c r="V124" i="1" s="1"/>
  <c r="H131" i="1"/>
  <c r="M131" i="1" s="1"/>
  <c r="P131" i="1" s="1"/>
  <c r="T131" i="1" s="1"/>
  <c r="V131" i="1" s="1"/>
  <c r="H132" i="1"/>
  <c r="M132" i="1" s="1"/>
  <c r="P132" i="1" s="1"/>
  <c r="T132" i="1" s="1"/>
  <c r="V132" i="1" s="1"/>
  <c r="H135" i="1"/>
  <c r="M135" i="1" s="1"/>
  <c r="P135" i="1" s="1"/>
  <c r="T135" i="1" s="1"/>
  <c r="V135" i="1" s="1"/>
  <c r="H140" i="1"/>
  <c r="M140" i="1" s="1"/>
  <c r="P140" i="1" s="1"/>
  <c r="T140" i="1" s="1"/>
  <c r="V140" i="1" s="1"/>
  <c r="H148" i="1"/>
  <c r="M148" i="1" s="1"/>
  <c r="P148" i="1" s="1"/>
  <c r="T148" i="1" s="1"/>
  <c r="V148" i="1" s="1"/>
  <c r="H155" i="1"/>
  <c r="M155" i="1" s="1"/>
  <c r="P155" i="1" s="1"/>
  <c r="T155" i="1" s="1"/>
  <c r="V155" i="1" s="1"/>
  <c r="H158" i="1"/>
  <c r="M158" i="1" s="1"/>
  <c r="P158" i="1" s="1"/>
  <c r="T158" i="1" s="1"/>
  <c r="V158" i="1" s="1"/>
  <c r="H159" i="1"/>
  <c r="M159" i="1" s="1"/>
  <c r="P159" i="1" s="1"/>
  <c r="T159" i="1" s="1"/>
  <c r="V159" i="1" s="1"/>
  <c r="H160" i="1"/>
  <c r="M160" i="1" s="1"/>
  <c r="P160" i="1" s="1"/>
  <c r="T160" i="1" s="1"/>
  <c r="V160" i="1" s="1"/>
  <c r="H161" i="1"/>
  <c r="M161" i="1" s="1"/>
  <c r="P161" i="1" s="1"/>
  <c r="T161" i="1" s="1"/>
  <c r="V161" i="1" s="1"/>
  <c r="H163" i="1"/>
  <c r="M163" i="1" s="1"/>
  <c r="P163" i="1" s="1"/>
  <c r="T163" i="1" s="1"/>
  <c r="V163" i="1" s="1"/>
  <c r="H164" i="1"/>
  <c r="M164" i="1" s="1"/>
  <c r="P164" i="1" s="1"/>
  <c r="T164" i="1" s="1"/>
  <c r="V164" i="1" s="1"/>
  <c r="F44" i="1"/>
  <c r="G44" i="1"/>
  <c r="F37" i="1"/>
  <c r="F34" i="1"/>
  <c r="G34" i="1"/>
  <c r="H27" i="1"/>
  <c r="M27" i="1" s="1"/>
  <c r="P27" i="1" s="1"/>
  <c r="T27" i="1" s="1"/>
  <c r="V27" i="1" s="1"/>
  <c r="H28" i="1"/>
  <c r="M28" i="1" s="1"/>
  <c r="P28" i="1" s="1"/>
  <c r="T28" i="1" s="1"/>
  <c r="V28" i="1" s="1"/>
  <c r="H31" i="1"/>
  <c r="M31" i="1" s="1"/>
  <c r="P31" i="1" s="1"/>
  <c r="T31" i="1" s="1"/>
  <c r="V31" i="1" s="1"/>
  <c r="H35" i="1"/>
  <c r="M35" i="1" s="1"/>
  <c r="P35" i="1" s="1"/>
  <c r="T35" i="1" s="1"/>
  <c r="V35" i="1" s="1"/>
  <c r="H41" i="1"/>
  <c r="M41" i="1" s="1"/>
  <c r="P41" i="1" s="1"/>
  <c r="T41" i="1" s="1"/>
  <c r="V41" i="1" s="1"/>
  <c r="H45" i="1"/>
  <c r="M45" i="1" s="1"/>
  <c r="P45" i="1" s="1"/>
  <c r="T45" i="1" s="1"/>
  <c r="V45" i="1" s="1"/>
  <c r="H46" i="1"/>
  <c r="M46" i="1" s="1"/>
  <c r="P46" i="1" s="1"/>
  <c r="T46" i="1" s="1"/>
  <c r="V46" i="1" s="1"/>
  <c r="H48" i="1"/>
  <c r="M48" i="1" s="1"/>
  <c r="P48" i="1" s="1"/>
  <c r="T48" i="1" s="1"/>
  <c r="H52" i="1"/>
  <c r="M52" i="1" s="1"/>
  <c r="P52" i="1" s="1"/>
  <c r="T52" i="1" s="1"/>
  <c r="H60" i="1"/>
  <c r="M60" i="1" s="1"/>
  <c r="P60" i="1" s="1"/>
  <c r="T60" i="1" s="1"/>
  <c r="V60" i="1" s="1"/>
  <c r="F26" i="1"/>
  <c r="G26" i="1"/>
  <c r="H70" i="1" l="1"/>
  <c r="M70" i="1" s="1"/>
  <c r="P70" i="1" s="1"/>
  <c r="T70" i="1" s="1"/>
  <c r="V70" i="1" s="1"/>
  <c r="G137" i="1"/>
  <c r="G120" i="1"/>
  <c r="G84" i="1"/>
  <c r="F7" i="1"/>
  <c r="H7" i="1" s="1"/>
  <c r="M7" i="1" s="1"/>
  <c r="P7" i="1" s="1"/>
  <c r="T7" i="1" s="1"/>
  <c r="V7" i="1" s="1"/>
  <c r="G33" i="1"/>
  <c r="F11" i="1"/>
  <c r="G62" i="1"/>
  <c r="F62" i="1"/>
  <c r="H147" i="1"/>
  <c r="M147" i="1" s="1"/>
  <c r="P147" i="1" s="1"/>
  <c r="T147" i="1" s="1"/>
  <c r="V147" i="1" s="1"/>
  <c r="F137" i="1"/>
  <c r="F120" i="1"/>
  <c r="G97" i="1"/>
  <c r="F97" i="1"/>
  <c r="F84" i="1"/>
  <c r="F33" i="1"/>
  <c r="F22" i="1"/>
  <c r="F10" i="1" s="1"/>
  <c r="G22" i="1"/>
  <c r="G10" i="1" s="1"/>
  <c r="F19" i="1"/>
  <c r="E19" i="1"/>
  <c r="F18" i="1"/>
  <c r="H18" i="1" s="1"/>
  <c r="M18" i="1" s="1"/>
  <c r="P18" i="1" s="1"/>
  <c r="T18" i="1" s="1"/>
  <c r="V18" i="1" s="1"/>
  <c r="F17" i="1"/>
  <c r="F16" i="1"/>
  <c r="G16" i="1"/>
  <c r="F15" i="1"/>
  <c r="G15" i="1"/>
  <c r="F14" i="1"/>
  <c r="G14" i="1"/>
  <c r="F13" i="1"/>
  <c r="G13" i="1"/>
  <c r="F12" i="1"/>
  <c r="G12" i="1"/>
  <c r="G11" i="1"/>
  <c r="H19" i="1" l="1"/>
  <c r="M19" i="1" s="1"/>
  <c r="P19" i="1" s="1"/>
  <c r="T19" i="1" s="1"/>
  <c r="V19" i="1" s="1"/>
  <c r="G9" i="1"/>
  <c r="G6" i="1" s="1"/>
  <c r="F9" i="1"/>
  <c r="F6" i="1" s="1"/>
  <c r="M17" i="1"/>
  <c r="P17" i="1" s="1"/>
  <c r="T17" i="1" s="1"/>
  <c r="V17" i="1" s="1"/>
  <c r="F21" i="1"/>
  <c r="G21" i="1"/>
  <c r="E143" i="1"/>
  <c r="H143" i="1" s="1"/>
  <c r="M143" i="1" s="1"/>
  <c r="P143" i="1" s="1"/>
  <c r="T143" i="1" s="1"/>
  <c r="V143" i="1" s="1"/>
  <c r="E127" i="1"/>
  <c r="E104" i="1"/>
  <c r="E86" i="1"/>
  <c r="E67" i="1"/>
  <c r="E38" i="1"/>
  <c r="E37" i="1" s="1"/>
  <c r="E23" i="1"/>
  <c r="E139" i="1"/>
  <c r="H139" i="1" s="1"/>
  <c r="M139" i="1" s="1"/>
  <c r="P139" i="1" s="1"/>
  <c r="T139" i="1" s="1"/>
  <c r="V139" i="1" s="1"/>
  <c r="E34" i="1"/>
  <c r="E85" i="1" l="1"/>
  <c r="H86" i="1"/>
  <c r="M86" i="1" s="1"/>
  <c r="P86" i="1" s="1"/>
  <c r="T86" i="1" s="1"/>
  <c r="V86" i="1" s="1"/>
  <c r="E103" i="1"/>
  <c r="H103" i="1" s="1"/>
  <c r="M103" i="1" s="1"/>
  <c r="P103" i="1" s="1"/>
  <c r="T103" i="1" s="1"/>
  <c r="V103" i="1" s="1"/>
  <c r="H104" i="1"/>
  <c r="M104" i="1" s="1"/>
  <c r="P104" i="1" s="1"/>
  <c r="T104" i="1" s="1"/>
  <c r="V104" i="1" s="1"/>
  <c r="E126" i="1"/>
  <c r="H126" i="1" s="1"/>
  <c r="M126" i="1" s="1"/>
  <c r="P126" i="1" s="1"/>
  <c r="T126" i="1" s="1"/>
  <c r="V126" i="1" s="1"/>
  <c r="H127" i="1"/>
  <c r="M127" i="1" s="1"/>
  <c r="P127" i="1" s="1"/>
  <c r="T127" i="1" s="1"/>
  <c r="V127" i="1" s="1"/>
  <c r="H34" i="1"/>
  <c r="M34" i="1" s="1"/>
  <c r="P34" i="1" s="1"/>
  <c r="T34" i="1" s="1"/>
  <c r="V34" i="1" s="1"/>
  <c r="E142" i="1"/>
  <c r="H142" i="1" s="1"/>
  <c r="M142" i="1" s="1"/>
  <c r="P142" i="1" s="1"/>
  <c r="T142" i="1" s="1"/>
  <c r="V142" i="1" s="1"/>
  <c r="H37" i="1"/>
  <c r="M37" i="1" s="1"/>
  <c r="P37" i="1" s="1"/>
  <c r="T37" i="1" s="1"/>
  <c r="V37" i="1" s="1"/>
  <c r="H38" i="1"/>
  <c r="M38" i="1" s="1"/>
  <c r="P38" i="1" s="1"/>
  <c r="T38" i="1" s="1"/>
  <c r="V38" i="1" s="1"/>
  <c r="E22" i="1"/>
  <c r="H23" i="1"/>
  <c r="M23" i="1" s="1"/>
  <c r="P23" i="1" s="1"/>
  <c r="T23" i="1" s="1"/>
  <c r="V23" i="1" s="1"/>
  <c r="E66" i="1"/>
  <c r="H67" i="1"/>
  <c r="M67" i="1" s="1"/>
  <c r="P67" i="1" s="1"/>
  <c r="T67" i="1" s="1"/>
  <c r="V67" i="1" s="1"/>
  <c r="E44" i="1"/>
  <c r="H44" i="1" s="1"/>
  <c r="M44" i="1" s="1"/>
  <c r="P44" i="1" s="1"/>
  <c r="T44" i="1" s="1"/>
  <c r="V44" i="1" s="1"/>
  <c r="E50" i="1"/>
  <c r="H50" i="1" s="1"/>
  <c r="M50" i="1" s="1"/>
  <c r="P50" i="1" s="1"/>
  <c r="T50" i="1" s="1"/>
  <c r="E74" i="1"/>
  <c r="H74" i="1" s="1"/>
  <c r="M74" i="1" s="1"/>
  <c r="P74" i="1" s="1"/>
  <c r="T74" i="1" s="1"/>
  <c r="V74" i="1" s="1"/>
  <c r="E157" i="1"/>
  <c r="H157" i="1" s="1"/>
  <c r="M157" i="1" s="1"/>
  <c r="P157" i="1" s="1"/>
  <c r="T157" i="1" s="1"/>
  <c r="V157" i="1" s="1"/>
  <c r="H22" i="1" l="1"/>
  <c r="M22" i="1" s="1"/>
  <c r="P22" i="1" s="1"/>
  <c r="T22" i="1" s="1"/>
  <c r="V22" i="1" s="1"/>
  <c r="E33" i="1"/>
  <c r="E11" i="1"/>
  <c r="H11" i="1" s="1"/>
  <c r="M11" i="1" s="1"/>
  <c r="P11" i="1" s="1"/>
  <c r="T11" i="1" s="1"/>
  <c r="V11" i="1" s="1"/>
  <c r="H66" i="1"/>
  <c r="M66" i="1" s="1"/>
  <c r="P66" i="1" s="1"/>
  <c r="T66" i="1" s="1"/>
  <c r="V66" i="1" s="1"/>
  <c r="E12" i="1"/>
  <c r="H85" i="1"/>
  <c r="M85" i="1" s="1"/>
  <c r="P85" i="1" s="1"/>
  <c r="T85" i="1" s="1"/>
  <c r="V85" i="1" s="1"/>
  <c r="E62" i="1"/>
  <c r="H62" i="1" s="1"/>
  <c r="M62" i="1" s="1"/>
  <c r="P62" i="1" s="1"/>
  <c r="T62" i="1" s="1"/>
  <c r="V62" i="1" s="1"/>
  <c r="H12" i="1" l="1"/>
  <c r="M12" i="1" s="1"/>
  <c r="P12" i="1" s="1"/>
  <c r="T12" i="1" s="1"/>
  <c r="V12" i="1" s="1"/>
  <c r="E138" i="1"/>
  <c r="E130" i="1"/>
  <c r="H130" i="1" s="1"/>
  <c r="M130" i="1" s="1"/>
  <c r="P130" i="1" s="1"/>
  <c r="T130" i="1" s="1"/>
  <c r="V130" i="1" s="1"/>
  <c r="E121" i="1"/>
  <c r="E113" i="1"/>
  <c r="H113" i="1" s="1"/>
  <c r="M113" i="1" s="1"/>
  <c r="P113" i="1" s="1"/>
  <c r="T113" i="1" s="1"/>
  <c r="V113" i="1" s="1"/>
  <c r="E108" i="1"/>
  <c r="H108" i="1" s="1"/>
  <c r="M108" i="1" s="1"/>
  <c r="P108" i="1" s="1"/>
  <c r="T108" i="1" s="1"/>
  <c r="V108" i="1" s="1"/>
  <c r="E98" i="1"/>
  <c r="E89" i="1"/>
  <c r="E26" i="1"/>
  <c r="H26" i="1" l="1"/>
  <c r="M26" i="1" s="1"/>
  <c r="P26" i="1" s="1"/>
  <c r="T26" i="1" s="1"/>
  <c r="V26" i="1" s="1"/>
  <c r="E10" i="1"/>
  <c r="H89" i="1"/>
  <c r="M89" i="1" s="1"/>
  <c r="P89" i="1" s="1"/>
  <c r="T89" i="1" s="1"/>
  <c r="V89" i="1" s="1"/>
  <c r="E13" i="1"/>
  <c r="H13" i="1" s="1"/>
  <c r="M13" i="1" s="1"/>
  <c r="P13" i="1" s="1"/>
  <c r="T13" i="1" s="1"/>
  <c r="V13" i="1" s="1"/>
  <c r="H98" i="1"/>
  <c r="M98" i="1" s="1"/>
  <c r="P98" i="1" s="1"/>
  <c r="T98" i="1" s="1"/>
  <c r="V98" i="1" s="1"/>
  <c r="E14" i="1"/>
  <c r="H14" i="1" s="1"/>
  <c r="M14" i="1" s="1"/>
  <c r="P14" i="1" s="1"/>
  <c r="T14" i="1" s="1"/>
  <c r="V14" i="1" s="1"/>
  <c r="H121" i="1"/>
  <c r="M121" i="1" s="1"/>
  <c r="P121" i="1" s="1"/>
  <c r="T121" i="1" s="1"/>
  <c r="V121" i="1" s="1"/>
  <c r="E15" i="1"/>
  <c r="H15" i="1" s="1"/>
  <c r="M15" i="1" s="1"/>
  <c r="P15" i="1" s="1"/>
  <c r="T15" i="1" s="1"/>
  <c r="V15" i="1" s="1"/>
  <c r="H138" i="1"/>
  <c r="M138" i="1" s="1"/>
  <c r="P138" i="1" s="1"/>
  <c r="T138" i="1" s="1"/>
  <c r="V138" i="1" s="1"/>
  <c r="E16" i="1"/>
  <c r="H16" i="1" s="1"/>
  <c r="M16" i="1" s="1"/>
  <c r="P16" i="1" s="1"/>
  <c r="T16" i="1" s="1"/>
  <c r="V16" i="1" s="1"/>
  <c r="E21" i="1"/>
  <c r="H21" i="1" s="1"/>
  <c r="M21" i="1" s="1"/>
  <c r="P21" i="1" s="1"/>
  <c r="T21" i="1" s="1"/>
  <c r="V21" i="1" s="1"/>
  <c r="H33" i="1"/>
  <c r="M33" i="1" s="1"/>
  <c r="P33" i="1" s="1"/>
  <c r="T33" i="1" s="1"/>
  <c r="V33" i="1" s="1"/>
  <c r="E137" i="1"/>
  <c r="H137" i="1" s="1"/>
  <c r="M137" i="1" s="1"/>
  <c r="P137" i="1" s="1"/>
  <c r="T137" i="1" s="1"/>
  <c r="V137" i="1" s="1"/>
  <c r="E84" i="1"/>
  <c r="H84" i="1" s="1"/>
  <c r="M84" i="1" s="1"/>
  <c r="P84" i="1" s="1"/>
  <c r="T84" i="1" s="1"/>
  <c r="V84" i="1" s="1"/>
  <c r="E97" i="1"/>
  <c r="H97" i="1" s="1"/>
  <c r="M97" i="1" s="1"/>
  <c r="P97" i="1" s="1"/>
  <c r="T97" i="1" s="1"/>
  <c r="V97" i="1" s="1"/>
  <c r="E120" i="1"/>
  <c r="H120" i="1" s="1"/>
  <c r="M120" i="1" s="1"/>
  <c r="P120" i="1" s="1"/>
  <c r="T120" i="1" s="1"/>
  <c r="V120" i="1" s="1"/>
  <c r="E9" i="1" l="1"/>
  <c r="E6" i="1" s="1"/>
  <c r="H10" i="1"/>
  <c r="M10" i="1" s="1"/>
  <c r="P10" i="1" s="1"/>
  <c r="T10" i="1" s="1"/>
  <c r="V10" i="1" s="1"/>
  <c r="H9" i="1" l="1"/>
  <c r="M9" i="1" s="1"/>
  <c r="P9" i="1" s="1"/>
  <c r="T9" i="1" s="1"/>
  <c r="V9" i="1" s="1"/>
  <c r="H6" i="1" l="1"/>
  <c r="M6" i="1" s="1"/>
  <c r="P6" i="1" s="1"/>
  <c r="T6" i="1" l="1"/>
  <c r="V6" i="1" s="1"/>
</calcChain>
</file>

<file path=xl/sharedStrings.xml><?xml version="1.0" encoding="utf-8"?>
<sst xmlns="http://schemas.openxmlformats.org/spreadsheetml/2006/main" count="212" uniqueCount="94">
  <si>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</si>
  <si>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</si>
  <si>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</si>
  <si>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</si>
  <si>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</si>
  <si>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</si>
  <si>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</si>
  <si>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</si>
  <si>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</si>
  <si>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</si>
  <si>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</si>
  <si>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</si>
  <si>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</si>
  <si>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</si>
  <si>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</si>
  <si>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Justiitsministeerium</t>
  </si>
  <si>
    <t>Lisa 1</t>
  </si>
  <si>
    <t>Programmi tegevus: Intellektuaalse omandi valdkonna rakendamine</t>
  </si>
  <si>
    <t>Programmi tegevus: Karistuste täideviimise korraldamine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</si>
  <si>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</si>
  <si>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</si>
  <si>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</si>
  <si>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</si>
  <si>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>SE030009</t>
  </si>
  <si>
    <t>Sotsiaaltoetused</t>
  </si>
  <si>
    <t>Sihtotstarbelised toetused</t>
  </si>
  <si>
    <t>Liikmemaksud</t>
  </si>
  <si>
    <t>Välistoetus ning sellest sõltuvad vahendid</t>
  </si>
  <si>
    <t>Antud mittesihtotstarbelised toetused</t>
  </si>
  <si>
    <t>SE000099</t>
  </si>
  <si>
    <t>IN000099</t>
  </si>
  <si>
    <t>sihtotstarbelised toetused</t>
  </si>
  <si>
    <t>õigusabi ja Advokatuuri poolt avalik-õiguslike ülesannete täitmine</t>
  </si>
  <si>
    <t>SE030002</t>
  </si>
  <si>
    <t>Tegevuskulud</t>
  </si>
  <si>
    <t>Käibemaks RKAS</t>
  </si>
  <si>
    <t>SE030003</t>
  </si>
  <si>
    <t>INVESTEERINGUD</t>
  </si>
  <si>
    <t>IN004000</t>
  </si>
  <si>
    <t>Kohtute reserv arvestuslikud tööjõukulud</t>
  </si>
  <si>
    <t>Kohtute reserv kindlaksmääratud tööjõukulud</t>
  </si>
  <si>
    <t>Kohtute reserv majandamiskulud</t>
  </si>
  <si>
    <t>Kohtute reserv majandamiskulude käibemaks</t>
  </si>
  <si>
    <t>Vanglate reserv kindlaksmääratud tööjõukulud</t>
  </si>
  <si>
    <t>Vanglate reserv majandamiskulud</t>
  </si>
  <si>
    <t>Vanglate reserv masinad ja seadmed</t>
  </si>
  <si>
    <t>Vanglate reserv majandamiskulude käibemaks</t>
  </si>
  <si>
    <t>Vanglate reserv investeeringute käibemaks</t>
  </si>
  <si>
    <t xml:space="preserve">Käibemaks </t>
  </si>
  <si>
    <t>sh vanglate reserv</t>
  </si>
  <si>
    <t>sh kohtute reserv</t>
  </si>
  <si>
    <t>Käibemaks välistoetus ning sellest sõltuvad vahendid</t>
  </si>
  <si>
    <t>Justiitsministeeriumi 2022. aasta eelarve</t>
  </si>
  <si>
    <t>Investeeringud</t>
  </si>
  <si>
    <t>sh investeeringute käibemaks</t>
  </si>
  <si>
    <t>ELA USA Inc ja EV kohtuvaidluse kulud</t>
  </si>
  <si>
    <t>VR030306</t>
  </si>
  <si>
    <t>2022. a käskkirja nr</t>
  </si>
  <si>
    <t>Ülekantavad vahendid I</t>
  </si>
  <si>
    <t>Eelarve muudatus I</t>
  </si>
  <si>
    <t>Reservi eraldised</t>
  </si>
  <si>
    <t>Kuni käskkirja jõustumiseni kehtiv 2022. a eelarve</t>
  </si>
  <si>
    <t>Eelarve muudatused</t>
  </si>
  <si>
    <t xml:space="preserve">Ülekantavad vahendid </t>
  </si>
  <si>
    <t>Lisaeelarve</t>
  </si>
  <si>
    <t>2022. a eelarve kokku</t>
  </si>
  <si>
    <t>SE000080</t>
  </si>
  <si>
    <t>KRAPS palgakulu kate</t>
  </si>
  <si>
    <t>VR030462</t>
  </si>
  <si>
    <t>Kohtute reserv kriisikohvrite rahastus</t>
  </si>
  <si>
    <t>Kindlaksmääratud tööjõukulud küberturbevõimekuse tõstmiseks</t>
  </si>
  <si>
    <t>Vanglate toimepidevus, kaitse ja kriisideks valmisolek</t>
  </si>
  <si>
    <t>käibemaks</t>
  </si>
  <si>
    <t>Investeeringud transpordivahenditesse</t>
  </si>
  <si>
    <t>Investeeringud masinatesse ja seadmetesse</t>
  </si>
  <si>
    <t>Puurkaevude rajamine</t>
  </si>
  <si>
    <t>Muud investeeringud</t>
  </si>
  <si>
    <t>IN003080</t>
  </si>
  <si>
    <t>IN004080</t>
  </si>
  <si>
    <t>IN005080</t>
  </si>
  <si>
    <t>IN030009</t>
  </si>
  <si>
    <t>Vanglate reserv vanglate toimepidavus, kaitse ja kriisideks valmisolek käibemaks</t>
  </si>
  <si>
    <t xml:space="preserve">2022. a esialgne eelarve </t>
  </si>
  <si>
    <t>Arvestuslikud tööjõukulud</t>
  </si>
  <si>
    <t>Infoturve</t>
  </si>
  <si>
    <t>SR030070</t>
  </si>
  <si>
    <t>Äriregister</t>
  </si>
  <si>
    <t>SR030102</t>
  </si>
  <si>
    <t>Peterburi Panga kohtuvaidlus</t>
  </si>
  <si>
    <t>VR030193</t>
  </si>
  <si>
    <t>Seaduse muudatus II lugemine</t>
  </si>
  <si>
    <t>Seaduse muudatus III lugemine</t>
  </si>
  <si>
    <t>Õppetoetused</t>
  </si>
  <si>
    <t>SE030007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</si>
</sst>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5" fillId="0" borderId="0" xfId="2" applyFont="1" applyAlignment="1">
      <alignment horizontal="left" indent="2"/>
    </xf>
    <xf numFmtId="0" fontId="11" fillId="0" borderId="0" xfId="1" applyFont="1"/>
    <xf numFmtId="0" fontId="12" fillId="0" borderId="0" xfId="1" applyFont="1" applyAlignment="1">
      <alignment horizontal="left" vertical="center" wrapText="1"/>
    </xf>
    <xf numFmtId="3" fontId="12" fillId="0" borderId="0" xfId="1" applyNumberFormat="1" applyFont="1" applyAlignment="1">
      <alignment horizontal="right" vertical="center" wrapText="1"/>
    </xf>
    <xf numFmtId="0" fontId="13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3" fontId="14" fillId="0" borderId="0" xfId="1" applyNumberFormat="1" applyFont="1"/>
    <xf numFmtId="0" fontId="15" fillId="2" borderId="0" xfId="1" applyFont="1" applyFill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4" fillId="0" borderId="0" xfId="3" applyFont="1" applyAlignment="1">
      <alignment horizontal="center"/>
    </xf>
    <xf numFmtId="0" fontId="16" fillId="0" borderId="0" xfId="0" applyFont="1"/>
    <xf numFmtId="3" fontId="9" fillId="0" borderId="0" xfId="3" applyNumberFormat="1" applyFont="1"/>
    <xf numFmtId="3" fontId="17" fillId="0" borderId="0" xfId="2" applyNumberFormat="1" applyFont="1" applyAlignment="1">
      <alignment horizontal="right" vertical="center" wrapText="1"/>
    </xf>
    <xf numFmtId="0" fontId="17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6" fillId="0" borderId="0" xfId="2" applyFont="1"/>
    <xf numFmtId="0" fontId="6" fillId="0" borderId="0" xfId="2" applyFont="1" applyAlignment="1">
      <alignment horizontal="center"/>
    </xf>
    <xf numFmtId="3" fontId="15" fillId="0" borderId="0" xfId="2" applyNumberFormat="1" applyFont="1" applyAlignment="1">
      <alignment horizontal="center" vertical="center" wrapText="1"/>
    </xf>
    <xf numFmtId="3" fontId="18" fillId="0" borderId="0" xfId="2" applyNumberFormat="1" applyFont="1" applyAlignment="1">
      <alignment horizontal="right" vertical="center" wrapText="1"/>
    </xf>
    <xf numFmtId="3" fontId="6" fillId="0" borderId="0" xfId="2" applyNumberFormat="1" applyFont="1"/>
    <xf numFmtId="3" fontId="15" fillId="0" borderId="0" xfId="2" applyNumberFormat="1" applyFont="1" applyAlignment="1">
      <alignment horizontal="right" vertical="center" wrapText="1"/>
    </xf>
    <xf numFmtId="3" fontId="7" fillId="0" borderId="0" xfId="2" applyNumberFormat="1" applyFont="1" applyAlignment="1">
      <alignment horizontal="right" vertical="center" wrapText="1"/>
    </xf>
    <xf numFmtId="3" fontId="17" fillId="0" borderId="0" xfId="2" applyNumberFormat="1" applyFont="1" applyAlignment="1">
      <alignment horizontal="center" vertical="center" wrapText="1"/>
    </xf>
    <xf numFmtId="0" fontId="19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2" applyFont="1" applyAlignment="1">
      <alignment horizontal="left" indent="2"/>
    </xf>
    <xf numFmtId="0" fontId="20" fillId="0" borderId="0" xfId="2" applyFont="1" applyAlignment="1">
      <alignment horizontal="center" vertical="center" wrapText="1"/>
    </xf>
    <xf numFmtId="3" fontId="20" fillId="0" borderId="0" xfId="2" applyNumberFormat="1" applyFont="1" applyAlignment="1">
      <alignment horizontal="center" vertical="center" wrapText="1"/>
    </xf>
    <xf numFmtId="3" fontId="20" fillId="0" borderId="0" xfId="2" applyNumberFormat="1" applyFont="1"/>
    <xf numFmtId="0" fontId="21" fillId="0" borderId="0" xfId="0" applyFont="1"/>
    <xf numFmtId="3" fontId="22" fillId="0" borderId="0" xfId="2" applyNumberFormat="1" applyFont="1" applyAlignment="1">
      <alignment horizontal="right" vertical="center" wrapText="1"/>
    </xf>
    <xf numFmtId="3" fontId="23" fillId="0" borderId="0" xfId="0" applyNumberFormat="1" applyFont="1"/>
    <xf numFmtId="0" fontId="15" fillId="0" borderId="0" xfId="1" applyFont="1"/>
    <xf numFmtId="0" fontId="15" fillId="0" borderId="0" xfId="1" applyFont="1" applyAlignment="1">
      <alignment horizontal="center"/>
    </xf>
    <xf numFmtId="3" fontId="15" fillId="0" borderId="0" xfId="1" applyNumberFormat="1" applyFont="1"/>
    <xf numFmtId="0" fontId="15" fillId="0" borderId="0" xfId="1" applyFont="1" applyAlignment="1">
      <alignment horizontal="left" indent="1"/>
    </xf>
    <xf numFmtId="0" fontId="15" fillId="0" borderId="0" xfId="2" applyFont="1" applyAlignment="1">
      <alignment horizontal="left" indent="1"/>
    </xf>
    <xf numFmtId="0" fontId="15" fillId="0" borderId="0" xfId="2" applyFont="1" applyAlignment="1">
      <alignment horizontal="center"/>
    </xf>
    <xf numFmtId="0" fontId="24" fillId="0" borderId="0" xfId="1" applyFont="1"/>
    <xf numFmtId="0" fontId="15" fillId="0" borderId="0" xfId="3" applyFont="1" applyAlignment="1">
      <alignment horizontal="center"/>
    </xf>
    <xf numFmtId="0" fontId="12" fillId="0" borderId="0" xfId="1" applyFont="1" applyAlignment="1">
      <alignment horizontal="left" vertical="center" wrapText="1" indent="2"/>
    </xf>
    <xf numFmtId="3" fontId="18" fillId="0" borderId="0" xfId="1" applyNumberFormat="1" applyFont="1" applyAlignment="1">
      <alignment horizontal="right" vertical="center" wrapText="1"/>
    </xf>
    <xf numFmtId="0" fontId="14" fillId="0" borderId="0" xfId="2" applyFont="1" applyAlignment="1">
      <alignment horizont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/>
    <xf numFmtId="0" fontId="15" fillId="0" borderId="0" xfId="3" applyFont="1" applyAlignment="1">
      <alignment horizontal="left" indent="1"/>
    </xf>
    <xf numFmtId="3" fontId="15" fillId="0" borderId="0" xfId="3" applyNumberFormat="1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25" fillId="0" borderId="0" xfId="2" applyFont="1" applyAlignment="1">
      <alignment horizontal="center"/>
    </xf>
    <xf numFmtId="3" fontId="26" fillId="0" borderId="0" xfId="2" applyNumberFormat="1" applyFont="1" applyAlignment="1">
      <alignment horizontal="right" vertical="center" wrapText="1"/>
    </xf>
    <xf numFmtId="0" fontId="25" fillId="0" borderId="0" xfId="1" applyFont="1"/>
    <xf numFmtId="0" fontId="4" fillId="0" borderId="0" xfId="3" applyFont="1"/>
    <xf numFmtId="0" fontId="7" fillId="0" borderId="0" xfId="1" applyFont="1"/>
    <xf numFmtId="3" fontId="7" fillId="0" borderId="0" xfId="3" applyNumberFormat="1" applyFont="1"/>
    <xf numFmtId="3" fontId="7" fillId="0" borderId="0" xfId="2" applyNumberFormat="1" applyFont="1"/>
    <xf numFmtId="3" fontId="18" fillId="0" borderId="0" xfId="3" applyNumberFormat="1" applyFont="1"/>
    <xf numFmtId="3" fontId="27" fillId="0" borderId="0" xfId="0" applyNumberFormat="1" applyFont="1"/>
    <xf numFmtId="0" fontId="4" fillId="0" borderId="0" xfId="1" applyFont="1" applyAlignment="1">
      <alignment horizontal="right"/>
    </xf>
    <xf numFmtId="0" fontId="26" fillId="0" borderId="0" xfId="1" applyFont="1"/>
    <xf numFmtId="3" fontId="4" fillId="0" borderId="0" xfId="0" applyNumberFormat="1" applyFont="1"/>
    <xf numFmtId="3" fontId="9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71"/>
  <sheetViews>
    <sheetView showZeros="0" tabSelected="1" zoomScale="90" zoomScaleNormal="90" workbookViewId="0">
      <pane xSplit="4" ySplit="5" topLeftCell="E6" activePane="bottomRight" state="frozen"/>
      <selection pane="topRight" activeCell="J1" sqref="J1"/>
      <selection pane="bottomLeft" activeCell="A5" sqref="A5"/>
      <selection pane="bottomRight"/>
    </sheetView>
  </sheetViews>
  <sheetFormatPr defaultColWidth="9.453125" defaultRowHeight="13" x14ac:dyDescent="0.3"/>
  <cols>
    <col min="1" max="1" width="60.6328125" style="1" customWidth="1"/>
    <col min="2" max="2" width="7.26953125" style="2" customWidth="1"/>
    <col min="3" max="3" width="8.54296875" style="2" customWidth="1"/>
    <col min="4" max="4" width="9.26953125" style="1" customWidth="1"/>
    <col min="5" max="5" width="15.7265625" style="1" customWidth="1"/>
    <col min="6" max="6" width="17.26953125" style="1" hidden="1" customWidth="1"/>
    <col min="7" max="7" width="17.7265625" style="1" hidden="1" customWidth="1"/>
    <col min="8" max="12" width="17" style="1" hidden="1" customWidth="1"/>
    <col min="13" max="13" width="19.453125" style="1" hidden="1" customWidth="1"/>
    <col min="14" max="14" width="21.26953125" style="1" hidden="1" customWidth="1"/>
    <col min="15" max="15" width="19.54296875" style="1" hidden="1" customWidth="1"/>
    <col min="16" max="16" width="21" style="1" hidden="1" customWidth="1"/>
    <col min="17" max="18" width="15.54296875" style="1" hidden="1" customWidth="1"/>
    <col min="19" max="19" width="15.453125" style="1" hidden="1" customWidth="1"/>
    <col min="20" max="20" width="21" style="1" customWidth="1"/>
    <col min="21" max="21" width="15.453125" style="1" customWidth="1"/>
    <col min="22" max="22" width="21" style="1" customWidth="1"/>
    <col min="23" max="16384" width="9.453125" style="1"/>
  </cols>
  <sheetData>
    <row r="1" spans="1:24" x14ac:dyDescent="0.3">
      <c r="A1" s="3"/>
      <c r="H1" s="1">
        <f>241372+1070798</f>
        <v>1312170</v>
      </c>
      <c r="I1" s="23"/>
      <c r="J1" s="23"/>
      <c r="K1" s="23"/>
      <c r="L1" s="23"/>
      <c r="V1" s="77" t="s">
        <v>57</v>
      </c>
    </row>
    <row r="2" spans="1:24" x14ac:dyDescent="0.3">
      <c r="A2" s="22"/>
      <c r="G2" s="3"/>
      <c r="H2" s="1">
        <v>8710</v>
      </c>
      <c r="I2" s="23"/>
      <c r="J2" s="23"/>
      <c r="K2" s="23"/>
      <c r="L2" s="23"/>
      <c r="V2" s="77" t="s">
        <v>16</v>
      </c>
    </row>
    <row r="3" spans="1:24" ht="15.5" x14ac:dyDescent="0.35">
      <c r="A3" s="25" t="s">
        <v>52</v>
      </c>
      <c r="E3" s="3"/>
      <c r="G3" s="3"/>
      <c r="H3" s="3"/>
      <c r="I3" s="3"/>
      <c r="J3" s="3"/>
      <c r="K3" s="3"/>
      <c r="L3" s="3"/>
      <c r="M3" s="3"/>
      <c r="P3" s="3"/>
      <c r="T3" s="3"/>
      <c r="V3" s="3"/>
    </row>
    <row r="4" spans="1:24" x14ac:dyDescent="0.3">
      <c r="A4" s="4"/>
      <c r="E4" s="3"/>
      <c r="F4" s="5"/>
      <c r="H4" s="3"/>
      <c r="I4" s="3"/>
      <c r="J4" s="3"/>
      <c r="K4" s="3"/>
      <c r="L4" s="3"/>
      <c r="M4" s="3">
        <f>H4+I4+J4+K4</f>
        <v>0</v>
      </c>
      <c r="P4" s="3"/>
      <c r="T4" s="3"/>
      <c r="V4" s="3"/>
    </row>
    <row r="5" spans="1:24" s="4" customFormat="1" ht="39" x14ac:dyDescent="0.3">
      <c r="A5" s="26"/>
      <c r="B5" s="26" t="s">
        <v>0</v>
      </c>
      <c r="C5" s="26" t="s">
        <v>2</v>
      </c>
      <c r="D5" s="26" t="s">
        <v>1</v>
      </c>
      <c r="E5" s="26" t="s">
        <v>82</v>
      </c>
      <c r="F5" s="26" t="s">
        <v>59</v>
      </c>
      <c r="G5" s="26" t="s">
        <v>58</v>
      </c>
      <c r="H5" s="26" t="s">
        <v>61</v>
      </c>
      <c r="I5" s="26" t="s">
        <v>62</v>
      </c>
      <c r="J5" s="26" t="s">
        <v>63</v>
      </c>
      <c r="K5" s="26" t="s">
        <v>64</v>
      </c>
      <c r="L5" s="26" t="s">
        <v>60</v>
      </c>
      <c r="M5" s="26" t="s">
        <v>61</v>
      </c>
      <c r="N5" s="26" t="s">
        <v>62</v>
      </c>
      <c r="O5" s="26" t="s">
        <v>60</v>
      </c>
      <c r="P5" s="26" t="s">
        <v>61</v>
      </c>
      <c r="Q5" s="26" t="s">
        <v>90</v>
      </c>
      <c r="R5" s="26" t="s">
        <v>91</v>
      </c>
      <c r="S5" s="26" t="s">
        <v>62</v>
      </c>
      <c r="T5" s="26" t="s">
        <v>61</v>
      </c>
      <c r="U5" s="26" t="s">
        <v>62</v>
      </c>
      <c r="V5" s="26" t="s">
        <v>65</v>
      </c>
    </row>
    <row r="6" spans="1:24" s="4" customFormat="1" ht="17" x14ac:dyDescent="0.3">
      <c r="A6" s="20" t="s">
        <v>15</v>
      </c>
      <c r="B6" s="6"/>
      <c r="C6" s="6"/>
      <c r="D6" s="6"/>
      <c r="E6" s="21">
        <f>E9+E17+E18</f>
        <v>31749028.523065686</v>
      </c>
      <c r="F6" s="21">
        <f>F9+F17+F18</f>
        <v>-453757.00000000023</v>
      </c>
      <c r="G6" s="21">
        <f>G9+G17+G18</f>
        <v>3105540.0000000037</v>
      </c>
      <c r="H6" s="21">
        <f>E6+F6+G6</f>
        <v>34400811.523065686</v>
      </c>
      <c r="I6" s="21">
        <f>I9+I17+I18</f>
        <v>-5092245.0000099987</v>
      </c>
      <c r="J6" s="21">
        <f>J9+J17+J18</f>
        <v>1321358</v>
      </c>
      <c r="K6" s="21">
        <f>K9+K17+K18</f>
        <v>5719790</v>
      </c>
      <c r="L6" s="21">
        <f t="shared" ref="L6" si="0">L9+L17+L18</f>
        <v>0</v>
      </c>
      <c r="M6" s="21">
        <f>H6+I6+J6+K6+L6</f>
        <v>36349714.523055688</v>
      </c>
      <c r="N6" s="21">
        <f t="shared" ref="N6:O6" si="1">N9+N17+N18</f>
        <v>-4059048.0000700019</v>
      </c>
      <c r="O6" s="21">
        <f t="shared" si="1"/>
        <v>7581517.0000000028</v>
      </c>
      <c r="P6" s="21">
        <f>M6+N6+O6</f>
        <v>39872183.522985689</v>
      </c>
      <c r="Q6" s="21">
        <f>Q9+Q17+Q18</f>
        <v>-443094.00001000066</v>
      </c>
      <c r="R6" s="21">
        <f t="shared" ref="R6" si="2">R9+R17+R18</f>
        <v>-40230.00000999996</v>
      </c>
      <c r="S6" s="21">
        <f>S9+S17+S18</f>
        <v>-1848734.0000200029</v>
      </c>
      <c r="T6" s="21">
        <f>P6+Q6+R6+S6</f>
        <v>37540125.522945687</v>
      </c>
      <c r="U6" s="21">
        <f>U9+U17+U18</f>
        <v>-2165825.7623381652</v>
      </c>
      <c r="V6" s="21">
        <f>T6+U6</f>
        <v>35374299.760607526</v>
      </c>
    </row>
    <row r="7" spans="1:24" s="4" customFormat="1" ht="17" x14ac:dyDescent="0.3">
      <c r="A7" s="59" t="s">
        <v>50</v>
      </c>
      <c r="B7" s="6"/>
      <c r="C7" s="6"/>
      <c r="D7" s="6"/>
      <c r="E7" s="60">
        <v>1417738</v>
      </c>
      <c r="F7" s="60">
        <f>F69+F70+F71+F79</f>
        <v>-225471</v>
      </c>
      <c r="G7" s="60">
        <f>G69+G70+G71+G79+G72+G80</f>
        <v>0</v>
      </c>
      <c r="H7" s="60">
        <f>E7+F7+G7</f>
        <v>1192267</v>
      </c>
      <c r="I7" s="60">
        <f>I69+I70+I71+I79+I72+I80</f>
        <v>-672100</v>
      </c>
      <c r="J7" s="60">
        <f>J69+J70+J71+J79+J72+J80</f>
        <v>22037</v>
      </c>
      <c r="K7" s="60">
        <f>K69+K70+K71+K79+K72+K80+K162</f>
        <v>133000</v>
      </c>
      <c r="L7" s="60">
        <f t="shared" ref="L7" si="3">L69+L70+L71+L79+L72+L80</f>
        <v>0</v>
      </c>
      <c r="M7" s="60">
        <f>H7+I7+J7+K7+L7</f>
        <v>675204</v>
      </c>
      <c r="N7" s="60">
        <f>N69+N70+N71+N72+N79+N161+N162</f>
        <v>-82702</v>
      </c>
      <c r="O7" s="60"/>
      <c r="P7" s="60">
        <f t="shared" ref="P7" si="4">M7+N7+O7</f>
        <v>592502</v>
      </c>
      <c r="Q7" s="60">
        <f>Q69+Q70+Q71+Q72+Q79+Q161+Q162</f>
        <v>0</v>
      </c>
      <c r="R7" s="60">
        <f t="shared" ref="R7:S7" si="5">R69+R70+R71+R72+R79+R161+R162</f>
        <v>0</v>
      </c>
      <c r="S7" s="60">
        <f t="shared" si="5"/>
        <v>-38516</v>
      </c>
      <c r="T7" s="60">
        <f t="shared" ref="T7:T72" si="6">P7+Q7+R7+S7</f>
        <v>553986</v>
      </c>
      <c r="U7" s="60">
        <f t="shared" ref="U7" si="7">U69+U70+U71+U72+U79+U161+U162</f>
        <v>0</v>
      </c>
      <c r="V7" s="60">
        <f t="shared" ref="V7:V70" si="8">T7+U7</f>
        <v>553986</v>
      </c>
    </row>
    <row r="8" spans="1:24" s="4" customFormat="1" ht="17" x14ac:dyDescent="0.3">
      <c r="A8" s="59" t="s">
        <v>49</v>
      </c>
      <c r="B8" s="6"/>
      <c r="C8" s="6"/>
      <c r="D8" s="6"/>
      <c r="E8" s="60">
        <v>2301939</v>
      </c>
      <c r="F8" s="60">
        <f>F41+F48+F51</f>
        <v>-263247</v>
      </c>
      <c r="G8" s="60">
        <f>G41+G48+G51</f>
        <v>0</v>
      </c>
      <c r="H8" s="60">
        <f t="shared" ref="H8" si="9">E8+F8+G8</f>
        <v>2038692</v>
      </c>
      <c r="I8" s="60">
        <f>I41+I48+I51+I53</f>
        <v>-3992079</v>
      </c>
      <c r="J8" s="60">
        <f>J41+J48+J51+J53</f>
        <v>961425</v>
      </c>
      <c r="K8" s="60">
        <f>K41+K48+K51+K53+K165</f>
        <v>4734190</v>
      </c>
      <c r="L8" s="60">
        <f t="shared" ref="L8" si="10">L41+L48+L51</f>
        <v>0</v>
      </c>
      <c r="M8" s="60">
        <f t="shared" ref="M8:M19" si="11">H8+I8+J8+K8+L8</f>
        <v>3742228</v>
      </c>
      <c r="N8" s="60">
        <f>N41+N48+N51+N54+N55+N56+N57+N58+N163+N164+N165</f>
        <v>-623635</v>
      </c>
      <c r="O8" s="60">
        <f>O41+O48+O51+O54+O55+O56+O57+O58+O163+O164+O165</f>
        <v>0</v>
      </c>
      <c r="P8" s="60">
        <f>M8+N8+O8</f>
        <v>3118593</v>
      </c>
      <c r="Q8" s="60">
        <f>Q41+Q48+Q51+Q54+Q55+Q56+Q57+Q58+Q163+Q164+Q165+Q42</f>
        <v>49406</v>
      </c>
      <c r="R8" s="60">
        <f t="shared" ref="R8:S8" si="12">R41+R48+R51+R54+R55+R56+R57+R58+R163+R164+R165</f>
        <v>0</v>
      </c>
      <c r="S8" s="60">
        <f t="shared" si="12"/>
        <v>0</v>
      </c>
      <c r="T8" s="60">
        <f t="shared" si="6"/>
        <v>3167999</v>
      </c>
      <c r="U8" s="60">
        <f>U41+U42+U48+U51+U54+U55+U56+U57+U58+U163+U164+U165</f>
        <v>-712723</v>
      </c>
      <c r="V8" s="60">
        <f t="shared" si="8"/>
        <v>2455276</v>
      </c>
    </row>
    <row r="9" spans="1:24" s="24" customFormat="1" ht="17" x14ac:dyDescent="0.4">
      <c r="A9" s="29" t="s">
        <v>14</v>
      </c>
      <c r="B9" s="9"/>
      <c r="C9" s="11"/>
      <c r="D9" s="10"/>
      <c r="E9" s="30">
        <f>E10+E11+E12+E13+E14+E15+E16</f>
        <v>30337461.523065686</v>
      </c>
      <c r="F9" s="30">
        <f>F10+F11+F12+F13+F14+F15+F16</f>
        <v>-453757.00000000023</v>
      </c>
      <c r="G9" s="30">
        <f>G10+G11+G12+G13+G14+G15+G16</f>
        <v>3105540.0000000037</v>
      </c>
      <c r="H9" s="21">
        <f>E9+F9+G9</f>
        <v>32989244.52306569</v>
      </c>
      <c r="I9" s="75">
        <f>I10+I11+I12+I13+I14+I15+I16</f>
        <v>-3173995.0000099991</v>
      </c>
      <c r="J9" s="75">
        <f>J10+J11+J12+J13+J14+J15+J16</f>
        <v>1318140</v>
      </c>
      <c r="K9" s="75">
        <f>K10+K11+K12+K13+K14+K15+K16</f>
        <v>2866491</v>
      </c>
      <c r="L9" s="30">
        <f t="shared" ref="L9" si="13">L10+L11+L12+L13+L14+L15+L16</f>
        <v>0</v>
      </c>
      <c r="M9" s="21">
        <f t="shared" si="11"/>
        <v>33999880.523055688</v>
      </c>
      <c r="N9" s="30">
        <f>N10+N11+N12+N13+N14+N15+N16</f>
        <v>-4027729.0000700019</v>
      </c>
      <c r="O9" s="30">
        <f>O10+O11+O12+O13+O14+O15+O16</f>
        <v>7581517.0000000028</v>
      </c>
      <c r="P9" s="21">
        <f>M9+N9+O9</f>
        <v>37553668.522985689</v>
      </c>
      <c r="Q9" s="30">
        <f>Q10+Q11+Q12+Q13+Q14+Q15+Q16</f>
        <v>-443094.00001000066</v>
      </c>
      <c r="R9" s="30">
        <f t="shared" ref="R9" si="14">R10+R11+R12+R13+R14+R15+R16</f>
        <v>-40230.00000999996</v>
      </c>
      <c r="S9" s="30">
        <f>S10+S11+S12+S13+S14+S15+S16</f>
        <v>-1848734.0000200029</v>
      </c>
      <c r="T9" s="21">
        <f>P9+Q9+R9+S9</f>
        <v>35221610.522945687</v>
      </c>
      <c r="U9" s="30">
        <f>U10+U11+U12+U13+U14+U15+U16</f>
        <v>-2153886.7623381652</v>
      </c>
      <c r="V9" s="21">
        <f t="shared" si="8"/>
        <v>33067723.760607522</v>
      </c>
    </row>
    <row r="10" spans="1:24" s="24" customFormat="1" ht="15.5" x14ac:dyDescent="0.35">
      <c r="A10" s="8" t="s">
        <v>17</v>
      </c>
      <c r="B10" s="9"/>
      <c r="C10" s="11"/>
      <c r="D10" s="10"/>
      <c r="E10" s="30">
        <f>E22+E26+E31</f>
        <v>563641.34558245249</v>
      </c>
      <c r="F10" s="30">
        <f>F22+F26+F31</f>
        <v>-1825.7052987483357</v>
      </c>
      <c r="G10" s="30">
        <f>G22+G26+G31</f>
        <v>99986.398038858795</v>
      </c>
      <c r="H10" s="30">
        <f t="shared" ref="H10:H16" si="15">E10+F10+G10</f>
        <v>661802.03832256293</v>
      </c>
      <c r="I10" s="75">
        <f>I22+I26+I31</f>
        <v>-11524.688955603331</v>
      </c>
      <c r="J10" s="75">
        <f>J22+J26+J31</f>
        <v>3988.6796097657216</v>
      </c>
      <c r="K10" s="75">
        <f t="shared" ref="K10:L10" si="16">K22+K26+K31</f>
        <v>0</v>
      </c>
      <c r="L10" s="30">
        <f t="shared" si="16"/>
        <v>0</v>
      </c>
      <c r="M10" s="30">
        <f t="shared" si="11"/>
        <v>654266.02897672541</v>
      </c>
      <c r="N10" s="30">
        <f>N22+N26+N31</f>
        <v>-32652.047913519658</v>
      </c>
      <c r="O10" s="30">
        <f>O22+O26+O31</f>
        <v>54566.539833727518</v>
      </c>
      <c r="P10" s="30">
        <f t="shared" ref="P10:P82" si="17">M10+N10+O10</f>
        <v>676180.52089693327</v>
      </c>
      <c r="Q10" s="30">
        <f>Q22+Q26+Q31</f>
        <v>-18306.999943882416</v>
      </c>
      <c r="R10" s="30">
        <f t="shared" ref="R10" si="18">R22+R26+R31</f>
        <v>-1121.0743552128504</v>
      </c>
      <c r="S10" s="30">
        <f>S22+S26+S31</f>
        <v>-66819.987791930573</v>
      </c>
      <c r="T10" s="30">
        <f>P10+Q10+R10+S10</f>
        <v>589932.4588059074</v>
      </c>
      <c r="U10" s="30">
        <f>U22+U26+U31</f>
        <v>-205395.65767183519</v>
      </c>
      <c r="V10" s="30">
        <f t="shared" si="8"/>
        <v>384536.80113407224</v>
      </c>
    </row>
    <row r="11" spans="1:24" s="24" customFormat="1" ht="15.5" x14ac:dyDescent="0.35">
      <c r="A11" s="8" t="s">
        <v>18</v>
      </c>
      <c r="B11" s="9"/>
      <c r="C11" s="11"/>
      <c r="D11" s="10"/>
      <c r="E11" s="30">
        <f>E34+E37+E44+E60</f>
        <v>4174048.5710321586</v>
      </c>
      <c r="F11" s="30">
        <f>F34+F37+F44+F60</f>
        <v>-241903.75459884782</v>
      </c>
      <c r="G11" s="30">
        <f>G34+G37+G44+G60</f>
        <v>141274.784226574</v>
      </c>
      <c r="H11" s="30">
        <f>E11+F11+G11</f>
        <v>4073419.6006598845</v>
      </c>
      <c r="I11" s="75">
        <f>I34+I37+I44+I60+I54</f>
        <v>-2153602.7627620948</v>
      </c>
      <c r="J11" s="75">
        <f>J34+J37+J44+J60+J54</f>
        <v>963842.76508676296</v>
      </c>
      <c r="K11" s="75">
        <f>K34+K37+K44+K60+K54</f>
        <v>2045158</v>
      </c>
      <c r="L11" s="30">
        <f>L34+L37+L44+L60</f>
        <v>0</v>
      </c>
      <c r="M11" s="30">
        <f>H11+I11+J11+K11+L11</f>
        <v>4928817.6029845532</v>
      </c>
      <c r="N11" s="30">
        <f>N34+N37+N44+N60</f>
        <v>-608452.01121583814</v>
      </c>
      <c r="O11" s="30">
        <f>O34+O37+O44+O60</f>
        <v>77099.248419816082</v>
      </c>
      <c r="P11" s="30">
        <f t="shared" si="17"/>
        <v>4397464.8401885312</v>
      </c>
      <c r="Q11" s="30">
        <f>Q34+Q37+Q44+Q60</f>
        <v>24690.696364094634</v>
      </c>
      <c r="R11" s="30">
        <f t="shared" ref="R11" si="19">R34+R37+R44+R60</f>
        <v>-7760.0636334689234</v>
      </c>
      <c r="S11" s="30">
        <f>S34+S37+S44+S60</f>
        <v>-94715.920116002249</v>
      </c>
      <c r="T11" s="30">
        <f t="shared" si="6"/>
        <v>4319679.5528031541</v>
      </c>
      <c r="U11" s="30">
        <f>U34+U37+U44+U60</f>
        <v>-860438.85767183523</v>
      </c>
      <c r="V11" s="30">
        <f t="shared" si="8"/>
        <v>3459240.6951313186</v>
      </c>
      <c r="X11" s="80"/>
    </row>
    <row r="12" spans="1:24" s="4" customFormat="1" ht="15.5" x14ac:dyDescent="0.35">
      <c r="A12" s="8" t="s">
        <v>19</v>
      </c>
      <c r="B12" s="13"/>
      <c r="C12" s="13"/>
      <c r="D12" s="14"/>
      <c r="E12" s="30">
        <f>E66+E74+E82</f>
        <v>3605876.8327119597</v>
      </c>
      <c r="F12" s="30">
        <f>F66+F74+F82</f>
        <v>-229821.41252673086</v>
      </c>
      <c r="G12" s="30">
        <f>G66+G74+G82</f>
        <v>400375.963696033</v>
      </c>
      <c r="H12" s="30">
        <f t="shared" si="15"/>
        <v>3776431.3838812616</v>
      </c>
      <c r="I12" s="75">
        <f>I66+I74+I82</f>
        <v>-721133.25814267807</v>
      </c>
      <c r="J12" s="75">
        <f t="shared" ref="J12:L12" si="20">J66+J74+J82</f>
        <v>268195.88691619853</v>
      </c>
      <c r="K12" s="75">
        <f t="shared" si="20"/>
        <v>110833</v>
      </c>
      <c r="L12" s="30">
        <f t="shared" si="20"/>
        <v>0</v>
      </c>
      <c r="M12" s="30">
        <f t="shared" si="11"/>
        <v>3434327.0126547823</v>
      </c>
      <c r="N12" s="30">
        <f>N66+N74+N82</f>
        <v>-2012087.6078582983</v>
      </c>
      <c r="O12" s="30">
        <f>O66+O74+O82</f>
        <v>6118501.0301400786</v>
      </c>
      <c r="P12" s="30">
        <f t="shared" si="17"/>
        <v>7540740.4349365626</v>
      </c>
      <c r="Q12" s="30">
        <f t="shared" ref="Q12:R12" si="21">Q63+Q66+Q74+Q82</f>
        <v>-73254.481147124301</v>
      </c>
      <c r="R12" s="30">
        <f t="shared" si="21"/>
        <v>-4769.7537406908978</v>
      </c>
      <c r="S12" s="30">
        <f>S63+S66+S74+S82</f>
        <v>-307555.6295302877</v>
      </c>
      <c r="T12" s="30">
        <f>P12+Q12+R12+S12</f>
        <v>7155160.5705184601</v>
      </c>
      <c r="U12" s="30">
        <f>U63+U66+U74+U82</f>
        <v>-327340.91534367035</v>
      </c>
      <c r="V12" s="30">
        <f t="shared" si="8"/>
        <v>6827819.65517479</v>
      </c>
    </row>
    <row r="13" spans="1:24" s="4" customFormat="1" ht="15.5" x14ac:dyDescent="0.35">
      <c r="A13" s="8" t="s">
        <v>3</v>
      </c>
      <c r="B13" s="27"/>
      <c r="C13" s="27"/>
      <c r="D13" s="27"/>
      <c r="E13" s="30">
        <f>E85+E89+E95</f>
        <v>989464.72804223956</v>
      </c>
      <c r="F13" s="30">
        <f t="shared" ref="F13:L13" si="22">F85+F89+F95</f>
        <v>-1813.3005648230974</v>
      </c>
      <c r="G13" s="30">
        <f t="shared" si="22"/>
        <v>175141.845458767</v>
      </c>
      <c r="H13" s="30">
        <f t="shared" si="15"/>
        <v>1162793.2729361835</v>
      </c>
      <c r="I13" s="75">
        <f t="shared" si="22"/>
        <v>-36509.917420099249</v>
      </c>
      <c r="J13" s="75">
        <f t="shared" si="22"/>
        <v>6986.7974194512417</v>
      </c>
      <c r="K13" s="75">
        <f t="shared" si="22"/>
        <v>14500</v>
      </c>
      <c r="L13" s="30">
        <f t="shared" si="22"/>
        <v>0</v>
      </c>
      <c r="M13" s="30">
        <f>H13+I13+J13+K13+L13</f>
        <v>1147770.1529355354</v>
      </c>
      <c r="N13" s="30">
        <f>N85+N89+N95</f>
        <v>-56333.982557929645</v>
      </c>
      <c r="O13" s="30">
        <f>O85+O89+O95</f>
        <v>95581.845873317317</v>
      </c>
      <c r="P13" s="30">
        <f t="shared" si="17"/>
        <v>1187018.016250923</v>
      </c>
      <c r="Q13" s="30">
        <f>Q85+Q89+Q95</f>
        <v>-32034.526266198816</v>
      </c>
      <c r="R13" s="30">
        <f t="shared" ref="R13:S13" si="23">R85+R89+R95</f>
        <v>-2141.0342678297575</v>
      </c>
      <c r="S13" s="30">
        <f t="shared" si="23"/>
        <v>-117597.73593348677</v>
      </c>
      <c r="T13" s="30">
        <f t="shared" si="6"/>
        <v>1035244.7197834078</v>
      </c>
      <c r="U13" s="30">
        <f t="shared" ref="U13" si="24">U85+U89+U95</f>
        <v>-192103.5</v>
      </c>
      <c r="V13" s="30">
        <f t="shared" si="8"/>
        <v>843141.21978340775</v>
      </c>
    </row>
    <row r="14" spans="1:24" s="4" customFormat="1" ht="15.5" x14ac:dyDescent="0.35">
      <c r="A14" s="8" t="s">
        <v>20</v>
      </c>
      <c r="B14" s="28"/>
      <c r="C14" s="28"/>
      <c r="D14" s="28"/>
      <c r="E14" s="30">
        <f>E98+E103+E108+E113+E118</f>
        <v>4660302.8367794706</v>
      </c>
      <c r="F14" s="30">
        <f>F98+F103+F108+F113+F118</f>
        <v>35241.143809858768</v>
      </c>
      <c r="G14" s="30">
        <f>G98+G103+G108+G113+G118</f>
        <v>448060.98363942798</v>
      </c>
      <c r="H14" s="30">
        <f t="shared" si="15"/>
        <v>5143604.9642287577</v>
      </c>
      <c r="I14" s="75">
        <f>I98+I103+I108+I113+I118</f>
        <v>-55164.119130406252</v>
      </c>
      <c r="J14" s="75">
        <f t="shared" ref="J14:L14" si="25">J98+J103+J108+J113+J118</f>
        <v>17874.14832845152</v>
      </c>
      <c r="K14" s="75">
        <f t="shared" si="25"/>
        <v>0</v>
      </c>
      <c r="L14" s="30">
        <f t="shared" si="25"/>
        <v>0</v>
      </c>
      <c r="M14" s="30">
        <f t="shared" si="11"/>
        <v>5106314.9934268026</v>
      </c>
      <c r="N14" s="30">
        <f>N98+N103+N108+N113+N118</f>
        <v>-144658.02729975191</v>
      </c>
      <c r="O14" s="30">
        <f>O98+O103+O108+O113+O118</f>
        <v>244524.63526286889</v>
      </c>
      <c r="P14" s="30">
        <f t="shared" si="17"/>
        <v>5206181.6013899203</v>
      </c>
      <c r="Q14" s="30">
        <f>Q98+Q103+Q108+Q113+Q118</f>
        <v>-81973.857519809302</v>
      </c>
      <c r="R14" s="30">
        <f t="shared" ref="R14:S14" si="26">R98+R103+R108+R113+R118</f>
        <v>-5366.1386891432685</v>
      </c>
      <c r="S14" s="30">
        <f t="shared" si="26"/>
        <v>-301991.81164325651</v>
      </c>
      <c r="T14" s="30">
        <f t="shared" si="6"/>
        <v>4816849.7935377108</v>
      </c>
      <c r="U14" s="30">
        <f t="shared" ref="U14" si="27">U98+U103+U108+U113+U118</f>
        <v>-232119.77768183517</v>
      </c>
      <c r="V14" s="30">
        <f t="shared" si="8"/>
        <v>4584730.0158558758</v>
      </c>
    </row>
    <row r="15" spans="1:24" s="4" customFormat="1" ht="15.5" x14ac:dyDescent="0.35">
      <c r="A15" s="8" t="s">
        <v>21</v>
      </c>
      <c r="B15" s="28"/>
      <c r="C15" s="28"/>
      <c r="D15" s="28"/>
      <c r="E15" s="30">
        <f>E121+E126+E130+E135</f>
        <v>7914538.0021680202</v>
      </c>
      <c r="F15" s="30">
        <f t="shared" ref="F15:L15" si="28">F121+F126+F130+F135</f>
        <v>-1770.0336376238411</v>
      </c>
      <c r="G15" s="30">
        <f t="shared" si="28"/>
        <v>746491.20452521299</v>
      </c>
      <c r="H15" s="30">
        <f t="shared" si="15"/>
        <v>8659259.1730556097</v>
      </c>
      <c r="I15" s="75">
        <f t="shared" si="28"/>
        <v>-122114.86352821396</v>
      </c>
      <c r="J15" s="75">
        <f t="shared" si="28"/>
        <v>29779.193017854217</v>
      </c>
      <c r="K15" s="75">
        <f t="shared" si="28"/>
        <v>0</v>
      </c>
      <c r="L15" s="30">
        <f t="shared" si="28"/>
        <v>0</v>
      </c>
      <c r="M15" s="30">
        <f t="shared" si="11"/>
        <v>8566923.5025452487</v>
      </c>
      <c r="N15" s="30">
        <f>N121+N126+N130+N135</f>
        <v>-226733.4490855998</v>
      </c>
      <c r="O15" s="30">
        <f>O121+O126+O130+O135</f>
        <v>407389.83347936609</v>
      </c>
      <c r="P15" s="30">
        <f t="shared" si="17"/>
        <v>8747579.8869390152</v>
      </c>
      <c r="Q15" s="30">
        <f>Q121+Q126+Q130+Q135</f>
        <v>-136024.56463309619</v>
      </c>
      <c r="R15" s="30">
        <f t="shared" ref="R15:S15" si="29">R121+R126+R130+R135</f>
        <v>-11878.83182090019</v>
      </c>
      <c r="S15" s="30">
        <f t="shared" si="29"/>
        <v>-497701.07124015695</v>
      </c>
      <c r="T15" s="30">
        <f t="shared" si="6"/>
        <v>8101975.4192448631</v>
      </c>
      <c r="U15" s="30">
        <f t="shared" ref="U15" si="30">U121+U126+U130+U135</f>
        <v>-356777.12328164821</v>
      </c>
      <c r="V15" s="30">
        <f t="shared" si="8"/>
        <v>7745198.2959632147</v>
      </c>
    </row>
    <row r="16" spans="1:24" s="4" customFormat="1" ht="15.5" x14ac:dyDescent="0.35">
      <c r="A16" s="8" t="s">
        <v>22</v>
      </c>
      <c r="B16" s="28"/>
      <c r="C16" s="28"/>
      <c r="D16" s="28"/>
      <c r="E16" s="30">
        <f>E138+E142+E147+E155</f>
        <v>8429589.2067493852</v>
      </c>
      <c r="F16" s="30">
        <f>F138+F142+F147+F155</f>
        <v>-11863.937183085043</v>
      </c>
      <c r="G16" s="30">
        <f>G138+G142+G147+G155</f>
        <v>1094208.8204151299</v>
      </c>
      <c r="H16" s="30">
        <f t="shared" si="15"/>
        <v>9511934.0899814293</v>
      </c>
      <c r="I16" s="75">
        <f>I138+I142+I147+I155</f>
        <v>-73945.390070903988</v>
      </c>
      <c r="J16" s="75">
        <f>J138+J142+J147+J155</f>
        <v>27472.529621516049</v>
      </c>
      <c r="K16" s="75">
        <f>K138+K142+K147+K155</f>
        <v>696000</v>
      </c>
      <c r="L16" s="30">
        <f>L138+L142+L147+L155</f>
        <v>0</v>
      </c>
      <c r="M16" s="30">
        <f t="shared" si="11"/>
        <v>10161461.229532041</v>
      </c>
      <c r="N16" s="30">
        <f>N138+N142+N147+N155</f>
        <v>-946811.87413906446</v>
      </c>
      <c r="O16" s="30">
        <f>O138+O142+O147+O155</f>
        <v>583853.86699082702</v>
      </c>
      <c r="P16" s="30">
        <f t="shared" si="17"/>
        <v>9798503.2223838028</v>
      </c>
      <c r="Q16" s="30">
        <f>Q138+Q142+Q147+Q155</f>
        <v>-126190.26686398427</v>
      </c>
      <c r="R16" s="30">
        <f t="shared" ref="R16:S16" si="31">R138+R142+R147+R155</f>
        <v>-7193.1035027540684</v>
      </c>
      <c r="S16" s="30">
        <f t="shared" si="31"/>
        <v>-462351.84376488224</v>
      </c>
      <c r="T16" s="30">
        <f>P16+Q16+R16+S16</f>
        <v>9202768.0082521811</v>
      </c>
      <c r="U16" s="30">
        <f t="shared" ref="U16" si="32">U138+U142+U147+U155</f>
        <v>20289.069312659281</v>
      </c>
      <c r="V16" s="30">
        <f t="shared" si="8"/>
        <v>9223057.0775648411</v>
      </c>
    </row>
    <row r="17" spans="1:22" s="4" customFormat="1" ht="15.5" x14ac:dyDescent="0.35">
      <c r="A17" s="8" t="s">
        <v>48</v>
      </c>
      <c r="B17" s="13"/>
      <c r="C17" s="13"/>
      <c r="D17" s="14"/>
      <c r="E17" s="30">
        <f>E158+E159+E160+E161+E163</f>
        <v>1344567</v>
      </c>
      <c r="F17" s="30">
        <f t="shared" ref="F17" si="33">F158+F159+F160+F161+F163</f>
        <v>0</v>
      </c>
      <c r="G17" s="30">
        <f>G158+G159+G160+G161+G163</f>
        <v>0</v>
      </c>
      <c r="H17" s="30">
        <f>E17+F17+G17</f>
        <v>1344567</v>
      </c>
      <c r="I17" s="75">
        <f>I158+I159+I160+I161+I163+I164+I165+I162+I171</f>
        <v>0</v>
      </c>
      <c r="J17" s="75">
        <f>J158+J159+J160+J161+J163+J164+J165+J162+J171</f>
        <v>0</v>
      </c>
      <c r="K17" s="75">
        <f>K158+K159+K160+K161+K163+K164+K162+K171+K166</f>
        <v>573299</v>
      </c>
      <c r="L17" s="30">
        <f>L158+L159+L160+L161+L163+L164+L165+L162+L171</f>
        <v>0</v>
      </c>
      <c r="M17" s="30">
        <f t="shared" si="11"/>
        <v>1917866</v>
      </c>
      <c r="N17" s="30">
        <f>N158+N159+N160+N161+N163</f>
        <v>0</v>
      </c>
      <c r="O17" s="30">
        <f>O158+O159+O160+O161+O163</f>
        <v>0</v>
      </c>
      <c r="P17" s="30">
        <f>M17+N17+O17</f>
        <v>1917866</v>
      </c>
      <c r="Q17" s="30">
        <f>Q158+Q159+Q160+Q161+Q163</f>
        <v>0</v>
      </c>
      <c r="R17" s="30">
        <f t="shared" ref="R17" si="34">R158+R159+R160+R161+R163</f>
        <v>0</v>
      </c>
      <c r="S17" s="30">
        <f>S158+S159+S160+S161+S163</f>
        <v>0</v>
      </c>
      <c r="T17" s="30">
        <f>P17+Q17+R17+S17</f>
        <v>1917866</v>
      </c>
      <c r="U17" s="30">
        <f>U158+U159+U160+U161+U163</f>
        <v>0</v>
      </c>
      <c r="V17" s="30">
        <f>T17+U17</f>
        <v>1917866</v>
      </c>
    </row>
    <row r="18" spans="1:22" s="4" customFormat="1" ht="17" x14ac:dyDescent="0.4">
      <c r="A18" s="29" t="s">
        <v>37</v>
      </c>
      <c r="B18" s="14"/>
      <c r="C18" s="14"/>
      <c r="D18" s="14"/>
      <c r="E18" s="30">
        <f>E51+E164</f>
        <v>67000</v>
      </c>
      <c r="F18" s="30">
        <f>F51+F164</f>
        <v>0</v>
      </c>
      <c r="G18" s="30">
        <f>G51+G164</f>
        <v>0</v>
      </c>
      <c r="H18" s="30">
        <f>E18+F18+G18</f>
        <v>67000</v>
      </c>
      <c r="I18" s="75">
        <f>I50+I55+I56+I57+I58+I164+I165</f>
        <v>-1918250</v>
      </c>
      <c r="J18" s="75">
        <f>J50+J53+J164+J165</f>
        <v>3218</v>
      </c>
      <c r="K18" s="75">
        <f>K50+K55+K56+K57+K58+K164+K167+K168+K169+K170</f>
        <v>2280000</v>
      </c>
      <c r="L18" s="30">
        <f>L50+L53+L164+L165</f>
        <v>0</v>
      </c>
      <c r="M18" s="30">
        <f>H18+I18+J18+K18+L18</f>
        <v>431968</v>
      </c>
      <c r="N18" s="30">
        <f>N51+N164</f>
        <v>-31319</v>
      </c>
      <c r="O18" s="30">
        <f>O51+O164</f>
        <v>0</v>
      </c>
      <c r="P18" s="30">
        <f t="shared" si="17"/>
        <v>400649</v>
      </c>
      <c r="Q18" s="30">
        <f>Q51+Q164</f>
        <v>0</v>
      </c>
      <c r="R18" s="30">
        <f t="shared" ref="R18" si="35">R51+R164</f>
        <v>0</v>
      </c>
      <c r="S18" s="30">
        <f>S51+S164</f>
        <v>0</v>
      </c>
      <c r="T18" s="30">
        <f>P18+Q18+R18+S18</f>
        <v>400649</v>
      </c>
      <c r="U18" s="30">
        <f>U51+U164</f>
        <v>-11939</v>
      </c>
      <c r="V18" s="30">
        <f t="shared" si="8"/>
        <v>388710</v>
      </c>
    </row>
    <row r="19" spans="1:22" s="4" customFormat="1" ht="15.5" x14ac:dyDescent="0.35">
      <c r="A19" s="62" t="s">
        <v>54</v>
      </c>
      <c r="B19" s="61"/>
      <c r="C19" s="61"/>
      <c r="D19" s="61"/>
      <c r="E19" s="63">
        <f>E164</f>
        <v>8710</v>
      </c>
      <c r="F19" s="63">
        <f t="shared" ref="F19" si="36">F164</f>
        <v>0</v>
      </c>
      <c r="G19" s="63">
        <f>G164</f>
        <v>0</v>
      </c>
      <c r="H19" s="63">
        <f>E19+F19+G19</f>
        <v>8710</v>
      </c>
      <c r="I19" s="63">
        <f>I164+I165</f>
        <v>0</v>
      </c>
      <c r="J19" s="63">
        <f t="shared" ref="J19:L19" si="37">J164+J165</f>
        <v>0</v>
      </c>
      <c r="K19" s="63">
        <f>K164+K165-K166</f>
        <v>380000</v>
      </c>
      <c r="L19" s="63">
        <f t="shared" si="37"/>
        <v>0</v>
      </c>
      <c r="M19" s="63">
        <f t="shared" si="11"/>
        <v>388710</v>
      </c>
      <c r="N19" s="63">
        <f>N164</f>
        <v>0</v>
      </c>
      <c r="O19" s="63">
        <f>O164</f>
        <v>0</v>
      </c>
      <c r="P19" s="63">
        <f t="shared" si="17"/>
        <v>388710</v>
      </c>
      <c r="Q19" s="63">
        <f>Q164</f>
        <v>0</v>
      </c>
      <c r="R19" s="63">
        <f t="shared" ref="R19:S19" si="38">R164</f>
        <v>0</v>
      </c>
      <c r="S19" s="63">
        <f t="shared" si="38"/>
        <v>0</v>
      </c>
      <c r="T19" s="63">
        <f t="shared" si="6"/>
        <v>388710</v>
      </c>
      <c r="U19" s="63">
        <f t="shared" ref="U19" si="39">U164</f>
        <v>0</v>
      </c>
      <c r="V19" s="63">
        <f t="shared" si="8"/>
        <v>388710</v>
      </c>
    </row>
    <row r="20" spans="1:22" s="4" customFormat="1" x14ac:dyDescent="0.3">
      <c r="A20" s="16"/>
      <c r="B20" s="14"/>
      <c r="C20" s="14"/>
      <c r="D20" s="14"/>
      <c r="E20" s="17"/>
      <c r="P20" s="4">
        <f t="shared" si="17"/>
        <v>0</v>
      </c>
      <c r="T20" s="4">
        <f t="shared" si="6"/>
        <v>0</v>
      </c>
      <c r="V20" s="4">
        <f t="shared" si="8"/>
        <v>0</v>
      </c>
    </row>
    <row r="21" spans="1:22" s="4" customFormat="1" ht="15.5" x14ac:dyDescent="0.35">
      <c r="A21" s="8" t="s">
        <v>17</v>
      </c>
      <c r="B21" s="7"/>
      <c r="C21" s="31"/>
      <c r="D21" s="32"/>
      <c r="E21" s="37">
        <f>E22+E26+E31</f>
        <v>563641.34558245249</v>
      </c>
      <c r="F21" s="37">
        <f t="shared" ref="F21:L21" si="40">F22+F26+F31</f>
        <v>-1825.7052987483357</v>
      </c>
      <c r="G21" s="37">
        <f t="shared" si="40"/>
        <v>99986.398038858795</v>
      </c>
      <c r="H21" s="37">
        <f>E21+F21+G21</f>
        <v>661802.03832256293</v>
      </c>
      <c r="I21" s="37">
        <f t="shared" si="40"/>
        <v>-11524.688955603331</v>
      </c>
      <c r="J21" s="37">
        <f>J22+J26+J31</f>
        <v>3988.6796097657216</v>
      </c>
      <c r="K21" s="37">
        <f t="shared" si="40"/>
        <v>0</v>
      </c>
      <c r="L21" s="37">
        <f t="shared" si="40"/>
        <v>0</v>
      </c>
      <c r="M21" s="37">
        <f>H21+I21+J21+K21+L21</f>
        <v>654266.02897672541</v>
      </c>
      <c r="N21" s="37">
        <f>N22+N26+N31</f>
        <v>-32652.047913519658</v>
      </c>
      <c r="O21" s="37">
        <f>O22+O26+O31</f>
        <v>54566.539833727518</v>
      </c>
      <c r="P21" s="37">
        <f t="shared" si="17"/>
        <v>676180.52089693327</v>
      </c>
      <c r="Q21" s="37">
        <f>Q22+Q26+Q31</f>
        <v>-18306.999943882416</v>
      </c>
      <c r="R21" s="37">
        <f t="shared" ref="R21:S21" si="41">R22+R26+R31</f>
        <v>-1121.0743552128504</v>
      </c>
      <c r="S21" s="37">
        <f t="shared" si="41"/>
        <v>-66819.987791930573</v>
      </c>
      <c r="T21" s="37">
        <f>P21+Q21+R21+S21</f>
        <v>589932.4588059074</v>
      </c>
      <c r="U21" s="37">
        <f t="shared" ref="U21" si="42">U22+U26+U31</f>
        <v>-205395.65767183519</v>
      </c>
      <c r="V21" s="37">
        <f t="shared" si="8"/>
        <v>384536.80113407224</v>
      </c>
    </row>
    <row r="22" spans="1:22" s="4" customFormat="1" x14ac:dyDescent="0.3">
      <c r="A22" s="15" t="s">
        <v>4</v>
      </c>
      <c r="B22" s="14"/>
      <c r="C22" s="33"/>
      <c r="D22" s="33"/>
      <c r="E22" s="38">
        <f>E23</f>
        <v>256251.87566008899</v>
      </c>
      <c r="F22" s="38">
        <f t="shared" ref="F22:L22" si="43">F23</f>
        <v>4272</v>
      </c>
      <c r="G22" s="38">
        <f t="shared" si="43"/>
        <v>0</v>
      </c>
      <c r="H22" s="38">
        <f>E22+F22+G22</f>
        <v>260523.87566008899</v>
      </c>
      <c r="I22" s="38">
        <f t="shared" si="43"/>
        <v>-11524.688955603331</v>
      </c>
      <c r="J22" s="38">
        <f t="shared" si="43"/>
        <v>0</v>
      </c>
      <c r="K22" s="38">
        <f t="shared" si="43"/>
        <v>0</v>
      </c>
      <c r="L22" s="38">
        <f t="shared" si="43"/>
        <v>0</v>
      </c>
      <c r="M22" s="38">
        <f t="shared" ref="M22:M114" si="44">H22+I22+J22+K22+L22</f>
        <v>248999.18670448565</v>
      </c>
      <c r="N22" s="38">
        <f>N23+N24</f>
        <v>5445.4730759731256</v>
      </c>
      <c r="O22" s="38">
        <f>O23+O24</f>
        <v>0</v>
      </c>
      <c r="P22" s="38">
        <f t="shared" si="17"/>
        <v>254444.65978045878</v>
      </c>
      <c r="Q22" s="38">
        <f>Q23+Q24</f>
        <v>208.99969331360634</v>
      </c>
      <c r="R22" s="38">
        <f t="shared" ref="R22:S22" si="45">R23+R24</f>
        <v>-1121.0743552128504</v>
      </c>
      <c r="S22" s="38">
        <f t="shared" si="45"/>
        <v>0</v>
      </c>
      <c r="T22" s="38">
        <f t="shared" si="6"/>
        <v>253532.58511855954</v>
      </c>
      <c r="U22" s="38">
        <f t="shared" ref="U22" si="46">U23+U24</f>
        <v>0</v>
      </c>
      <c r="V22" s="38">
        <f t="shared" si="8"/>
        <v>253532.58511855954</v>
      </c>
    </row>
    <row r="23" spans="1:22" s="4" customFormat="1" x14ac:dyDescent="0.3">
      <c r="A23" s="16" t="s">
        <v>5</v>
      </c>
      <c r="B23" s="14">
        <v>20</v>
      </c>
      <c r="C23" s="14">
        <v>50</v>
      </c>
      <c r="D23" s="14"/>
      <c r="E23" s="39">
        <f>254149.875660089+2102</f>
        <v>256251.87566008899</v>
      </c>
      <c r="F23" s="39">
        <v>4272</v>
      </c>
      <c r="G23" s="39"/>
      <c r="H23" s="39">
        <f t="shared" ref="H23:H60" si="47">E23+F23+G23</f>
        <v>260523.87566008899</v>
      </c>
      <c r="I23" s="39">
        <v>-11524.688955603331</v>
      </c>
      <c r="J23" s="39"/>
      <c r="K23" s="39"/>
      <c r="L23" s="39"/>
      <c r="M23" s="39">
        <f t="shared" si="44"/>
        <v>248999.18670448565</v>
      </c>
      <c r="N23" s="50">
        <v>1284.6514482343002</v>
      </c>
      <c r="P23" s="39">
        <f t="shared" si="17"/>
        <v>250283.83815271995</v>
      </c>
      <c r="Q23" s="39">
        <v>208.99969331360634</v>
      </c>
      <c r="R23" s="39">
        <v>-1121.0743552128504</v>
      </c>
      <c r="T23" s="39">
        <f>P23+Q23+R23+S23</f>
        <v>249371.76349082071</v>
      </c>
      <c r="V23" s="39">
        <f t="shared" si="8"/>
        <v>249371.76349082071</v>
      </c>
    </row>
    <row r="24" spans="1:22" s="4" customFormat="1" x14ac:dyDescent="0.3">
      <c r="A24" s="16" t="s">
        <v>83</v>
      </c>
      <c r="B24" s="14">
        <v>10</v>
      </c>
      <c r="C24" s="14">
        <v>50</v>
      </c>
      <c r="D24" s="14" t="s">
        <v>36</v>
      </c>
      <c r="E24" s="39"/>
      <c r="F24" s="39"/>
      <c r="G24" s="39"/>
      <c r="H24" s="39"/>
      <c r="I24" s="39"/>
      <c r="J24" s="39"/>
      <c r="K24" s="39"/>
      <c r="L24" s="39"/>
      <c r="M24" s="39"/>
      <c r="N24" s="50">
        <v>4160.8216277388256</v>
      </c>
      <c r="P24" s="39">
        <f t="shared" si="17"/>
        <v>4160.8216277388256</v>
      </c>
      <c r="T24" s="39">
        <f t="shared" si="6"/>
        <v>4160.8216277388256</v>
      </c>
      <c r="V24" s="39">
        <f t="shared" si="8"/>
        <v>4160.8216277388256</v>
      </c>
    </row>
    <row r="25" spans="1:22" s="4" customFormat="1" x14ac:dyDescent="0.3">
      <c r="A25" s="16"/>
      <c r="B25" s="14"/>
      <c r="C25" s="14"/>
      <c r="D25" s="14"/>
      <c r="E25" s="39">
        <v>0</v>
      </c>
      <c r="H25" s="39"/>
      <c r="I25" s="39"/>
      <c r="J25" s="39"/>
      <c r="K25" s="39"/>
      <c r="L25" s="39"/>
      <c r="M25" s="39">
        <f t="shared" si="44"/>
        <v>0</v>
      </c>
      <c r="P25" s="39">
        <f t="shared" si="17"/>
        <v>0</v>
      </c>
      <c r="T25" s="39">
        <f t="shared" si="6"/>
        <v>0</v>
      </c>
      <c r="V25" s="39">
        <f t="shared" si="8"/>
        <v>0</v>
      </c>
    </row>
    <row r="26" spans="1:22" s="4" customFormat="1" x14ac:dyDescent="0.3">
      <c r="A26" s="19" t="s">
        <v>13</v>
      </c>
      <c r="B26" s="14"/>
      <c r="C26" s="33"/>
      <c r="D26" s="33"/>
      <c r="E26" s="40">
        <f>E27+E28</f>
        <v>307348.46992236353</v>
      </c>
      <c r="F26" s="40">
        <f t="shared" ref="F26:L26" si="48">F27+F28</f>
        <v>-6097.7052987483357</v>
      </c>
      <c r="G26" s="40">
        <f t="shared" si="48"/>
        <v>99986.398038858795</v>
      </c>
      <c r="H26" s="40">
        <f t="shared" si="47"/>
        <v>401237.16266247397</v>
      </c>
      <c r="I26" s="40">
        <f t="shared" si="48"/>
        <v>0</v>
      </c>
      <c r="J26" s="40">
        <f t="shared" si="48"/>
        <v>3988.6796097657216</v>
      </c>
      <c r="K26" s="40">
        <f t="shared" si="48"/>
        <v>0</v>
      </c>
      <c r="L26" s="40">
        <f t="shared" si="48"/>
        <v>0</v>
      </c>
      <c r="M26" s="40">
        <f t="shared" si="44"/>
        <v>405225.84227223968</v>
      </c>
      <c r="N26" s="40">
        <f>N27+N28+N29</f>
        <v>-38097.520989492783</v>
      </c>
      <c r="O26" s="40">
        <f>O27+O28+O29</f>
        <v>54566.539833727518</v>
      </c>
      <c r="P26" s="40">
        <f t="shared" si="17"/>
        <v>421694.86111647444</v>
      </c>
      <c r="Q26" s="40">
        <f>Q27+Q28+Q29</f>
        <v>-18515.999637196022</v>
      </c>
      <c r="R26" s="40">
        <f t="shared" ref="R26" si="49">R27+R28+R29</f>
        <v>0</v>
      </c>
      <c r="S26" s="40">
        <f>S27+S28+S29</f>
        <v>-66819.987791930573</v>
      </c>
      <c r="T26" s="40">
        <f t="shared" si="6"/>
        <v>336358.87368734786</v>
      </c>
      <c r="U26" s="40">
        <f>U27+U28+U29</f>
        <v>-205395.65767183519</v>
      </c>
      <c r="V26" s="40">
        <f t="shared" si="8"/>
        <v>130963.21601551268</v>
      </c>
    </row>
    <row r="27" spans="1:22" s="4" customFormat="1" x14ac:dyDescent="0.3">
      <c r="A27" s="16" t="s">
        <v>8</v>
      </c>
      <c r="B27" s="14">
        <v>20</v>
      </c>
      <c r="C27" s="14">
        <v>55</v>
      </c>
      <c r="D27" s="14"/>
      <c r="E27" s="39">
        <v>261520.2600079962</v>
      </c>
      <c r="F27" s="39">
        <v>-5153.4100509206</v>
      </c>
      <c r="G27" s="39">
        <v>99986.398038858795</v>
      </c>
      <c r="H27" s="39">
        <f t="shared" si="47"/>
        <v>356353.24799593439</v>
      </c>
      <c r="I27" s="39"/>
      <c r="J27" s="39">
        <v>3988.6796097657216</v>
      </c>
      <c r="K27" s="39"/>
      <c r="L27" s="39"/>
      <c r="M27" s="39">
        <f t="shared" si="44"/>
        <v>360341.9276057001</v>
      </c>
      <c r="N27" s="39">
        <v>-27173.081203395301</v>
      </c>
      <c r="P27" s="39">
        <f t="shared" si="17"/>
        <v>333168.84640230477</v>
      </c>
      <c r="Q27" s="39">
        <v>-18515.999637196022</v>
      </c>
      <c r="R27" s="39"/>
      <c r="S27" s="39">
        <v>-67554.43965135215</v>
      </c>
      <c r="T27" s="39">
        <f t="shared" si="6"/>
        <v>247098.40711375661</v>
      </c>
      <c r="U27" s="50">
        <v>-208487.7</v>
      </c>
      <c r="V27" s="39">
        <f t="shared" si="8"/>
        <v>38610.707113756594</v>
      </c>
    </row>
    <row r="28" spans="1:22" s="4" customFormat="1" x14ac:dyDescent="0.3">
      <c r="A28" s="16" t="s">
        <v>9</v>
      </c>
      <c r="B28" s="14">
        <v>20</v>
      </c>
      <c r="C28" s="14">
        <v>55</v>
      </c>
      <c r="D28" s="14" t="s">
        <v>10</v>
      </c>
      <c r="E28" s="39">
        <v>45828.209914367297</v>
      </c>
      <c r="F28" s="39">
        <v>-944.29524782773603</v>
      </c>
      <c r="G28" s="39"/>
      <c r="H28" s="39">
        <f t="shared" si="47"/>
        <v>44883.91466653956</v>
      </c>
      <c r="I28" s="39"/>
      <c r="J28" s="39"/>
      <c r="K28" s="39"/>
      <c r="L28" s="39"/>
      <c r="M28" s="39">
        <f t="shared" si="44"/>
        <v>44883.91466653956</v>
      </c>
      <c r="P28" s="39">
        <f t="shared" si="17"/>
        <v>44883.91466653956</v>
      </c>
      <c r="S28" s="79">
        <v>734.45185942157286</v>
      </c>
      <c r="T28" s="39">
        <f t="shared" si="6"/>
        <v>45618.36652596113</v>
      </c>
      <c r="U28" s="50">
        <v>3092.0423281648209</v>
      </c>
      <c r="V28" s="39">
        <f t="shared" si="8"/>
        <v>48710.408854125948</v>
      </c>
    </row>
    <row r="29" spans="1:22" s="4" customFormat="1" x14ac:dyDescent="0.3">
      <c r="A29" s="16" t="s">
        <v>84</v>
      </c>
      <c r="B29" s="14">
        <v>20</v>
      </c>
      <c r="C29" s="14">
        <v>55</v>
      </c>
      <c r="D29" s="14" t="s">
        <v>85</v>
      </c>
      <c r="E29" s="39"/>
      <c r="F29" s="39"/>
      <c r="G29" s="39"/>
      <c r="H29" s="39"/>
      <c r="I29" s="39"/>
      <c r="J29" s="39"/>
      <c r="K29" s="39"/>
      <c r="L29" s="39"/>
      <c r="M29" s="39"/>
      <c r="N29" s="39">
        <v>-10924.439786097486</v>
      </c>
      <c r="O29" s="39">
        <v>54566.539833727518</v>
      </c>
      <c r="P29" s="39">
        <f t="shared" si="17"/>
        <v>43642.100047630032</v>
      </c>
      <c r="T29" s="39">
        <f t="shared" si="6"/>
        <v>43642.100047630032</v>
      </c>
      <c r="V29" s="39">
        <f t="shared" si="8"/>
        <v>43642.100047630032</v>
      </c>
    </row>
    <row r="30" spans="1:22" s="4" customFormat="1" x14ac:dyDescent="0.3">
      <c r="A30" s="16"/>
      <c r="B30" s="14"/>
      <c r="C30" s="14"/>
      <c r="D30" s="14"/>
      <c r="E30" s="39"/>
      <c r="H30" s="39"/>
      <c r="I30" s="39"/>
      <c r="J30" s="39"/>
      <c r="K30" s="39"/>
      <c r="L30" s="39"/>
      <c r="M30" s="39">
        <f t="shared" si="44"/>
        <v>0</v>
      </c>
      <c r="P30" s="39">
        <f t="shared" si="17"/>
        <v>0</v>
      </c>
      <c r="T30" s="39">
        <f t="shared" si="6"/>
        <v>0</v>
      </c>
      <c r="V30" s="39">
        <f t="shared" si="8"/>
        <v>0</v>
      </c>
    </row>
    <row r="31" spans="1:22" s="4" customFormat="1" x14ac:dyDescent="0.3">
      <c r="A31" s="15" t="s">
        <v>12</v>
      </c>
      <c r="B31" s="14">
        <v>60</v>
      </c>
      <c r="C31" s="33">
        <v>610</v>
      </c>
      <c r="D31" s="34"/>
      <c r="E31" s="40">
        <v>41</v>
      </c>
      <c r="H31" s="39">
        <f t="shared" si="47"/>
        <v>41</v>
      </c>
      <c r="I31" s="39"/>
      <c r="J31" s="39"/>
      <c r="K31" s="39"/>
      <c r="L31" s="39"/>
      <c r="M31" s="39">
        <f t="shared" si="44"/>
        <v>41</v>
      </c>
      <c r="P31" s="39">
        <f t="shared" si="17"/>
        <v>41</v>
      </c>
      <c r="T31" s="39">
        <f t="shared" si="6"/>
        <v>41</v>
      </c>
      <c r="V31" s="39">
        <f t="shared" si="8"/>
        <v>41</v>
      </c>
    </row>
    <row r="32" spans="1:22" s="4" customFormat="1" x14ac:dyDescent="0.3">
      <c r="A32" s="12"/>
      <c r="B32" s="14"/>
      <c r="C32" s="33"/>
      <c r="D32" s="34"/>
      <c r="E32" s="39">
        <v>0</v>
      </c>
      <c r="H32" s="39"/>
      <c r="I32" s="39"/>
      <c r="J32" s="39"/>
      <c r="K32" s="39"/>
      <c r="L32" s="39"/>
      <c r="M32" s="39">
        <f t="shared" si="44"/>
        <v>0</v>
      </c>
      <c r="P32" s="39">
        <f t="shared" si="17"/>
        <v>0</v>
      </c>
      <c r="T32" s="39">
        <f t="shared" si="6"/>
        <v>0</v>
      </c>
      <c r="V32" s="39">
        <f t="shared" si="8"/>
        <v>0</v>
      </c>
    </row>
    <row r="33" spans="1:22" s="4" customFormat="1" ht="15.5" x14ac:dyDescent="0.35">
      <c r="A33" s="8" t="s">
        <v>18</v>
      </c>
      <c r="B33" s="35"/>
      <c r="C33" s="32"/>
      <c r="D33" s="32"/>
      <c r="E33" s="37">
        <f>E34+E37+E44+E60</f>
        <v>4174048.5710321586</v>
      </c>
      <c r="F33" s="37">
        <f>F34+F37+F44+F60</f>
        <v>-241903.75459884782</v>
      </c>
      <c r="G33" s="37">
        <f>G34+G37+G44+G60</f>
        <v>141274.784226574</v>
      </c>
      <c r="H33" s="37">
        <f t="shared" si="47"/>
        <v>4073419.6006598845</v>
      </c>
      <c r="I33" s="37">
        <f>I34+I37+I44+I60+I54</f>
        <v>-2153602.7627620948</v>
      </c>
      <c r="J33" s="37">
        <f>J34+J37+J44+J60</f>
        <v>963842.76508676296</v>
      </c>
      <c r="K33" s="37">
        <f>K34+K37+K44+K60+K54</f>
        <v>2045158</v>
      </c>
      <c r="L33" s="37">
        <f>L34+L37+L44+L60</f>
        <v>0</v>
      </c>
      <c r="M33" s="37">
        <f>H33+I33+J33+K33+L33</f>
        <v>4928817.6029845532</v>
      </c>
      <c r="N33" s="37">
        <f>N34+N37+N44+N60</f>
        <v>-608452.01121583814</v>
      </c>
      <c r="O33" s="37">
        <f>O34+O37+O44+O60</f>
        <v>77099.248419816082</v>
      </c>
      <c r="P33" s="37">
        <f>M33+N33+O33</f>
        <v>4397464.8401885312</v>
      </c>
      <c r="Q33" s="37">
        <f>Q34+Q37+Q44+Q60</f>
        <v>24690.696364094634</v>
      </c>
      <c r="R33" s="37">
        <f t="shared" ref="R33:S33" si="50">R34+R37+R44+R60</f>
        <v>-7760.0636334689234</v>
      </c>
      <c r="S33" s="37">
        <f t="shared" si="50"/>
        <v>-94715.920116002249</v>
      </c>
      <c r="T33" s="37">
        <f t="shared" si="6"/>
        <v>4319679.5528031541</v>
      </c>
      <c r="U33" s="37">
        <f t="shared" ref="U33" si="51">U34+U37+U44+U60</f>
        <v>-860438.85767183523</v>
      </c>
      <c r="V33" s="37">
        <f t="shared" si="8"/>
        <v>3459240.6951313186</v>
      </c>
    </row>
    <row r="34" spans="1:22" x14ac:dyDescent="0.3">
      <c r="A34" s="15" t="s">
        <v>6</v>
      </c>
      <c r="B34" s="35"/>
      <c r="C34" s="32"/>
      <c r="D34" s="32"/>
      <c r="E34" s="40">
        <f>E35</f>
        <v>5000</v>
      </c>
      <c r="F34" s="40">
        <f t="shared" ref="F34:G34" si="52">F35</f>
        <v>0</v>
      </c>
      <c r="G34" s="40">
        <f t="shared" si="52"/>
        <v>0</v>
      </c>
      <c r="H34" s="40">
        <f t="shared" si="47"/>
        <v>5000</v>
      </c>
      <c r="I34" s="40"/>
      <c r="J34" s="40"/>
      <c r="K34" s="40"/>
      <c r="L34" s="40"/>
      <c r="M34" s="40">
        <f t="shared" si="44"/>
        <v>5000</v>
      </c>
      <c r="N34" s="40">
        <f>N35</f>
        <v>0</v>
      </c>
      <c r="O34" s="40">
        <f>O35</f>
        <v>0</v>
      </c>
      <c r="P34" s="40">
        <f t="shared" si="17"/>
        <v>5000</v>
      </c>
      <c r="Q34" s="40">
        <f>Q35</f>
        <v>0</v>
      </c>
      <c r="R34" s="40">
        <f t="shared" ref="R34:U34" si="53">R35</f>
        <v>0</v>
      </c>
      <c r="S34" s="40">
        <f t="shared" si="53"/>
        <v>0</v>
      </c>
      <c r="T34" s="40">
        <f t="shared" si="6"/>
        <v>5000</v>
      </c>
      <c r="U34" s="40">
        <f t="shared" si="53"/>
        <v>0</v>
      </c>
      <c r="V34" s="40">
        <f t="shared" si="8"/>
        <v>5000</v>
      </c>
    </row>
    <row r="35" spans="1:22" x14ac:dyDescent="0.3">
      <c r="A35" s="16" t="s">
        <v>24</v>
      </c>
      <c r="B35" s="14">
        <v>20</v>
      </c>
      <c r="C35" s="14">
        <v>41</v>
      </c>
      <c r="D35" s="12"/>
      <c r="E35" s="39">
        <v>5000</v>
      </c>
      <c r="H35" s="39">
        <f t="shared" si="47"/>
        <v>5000</v>
      </c>
      <c r="I35" s="39"/>
      <c r="J35" s="39"/>
      <c r="K35" s="39"/>
      <c r="L35" s="39"/>
      <c r="M35" s="39">
        <f t="shared" si="44"/>
        <v>5000</v>
      </c>
      <c r="P35" s="39">
        <f t="shared" si="17"/>
        <v>5000</v>
      </c>
      <c r="T35" s="39">
        <f t="shared" si="6"/>
        <v>5000</v>
      </c>
      <c r="V35" s="39">
        <f t="shared" si="8"/>
        <v>5000</v>
      </c>
    </row>
    <row r="36" spans="1:22" ht="15.5" x14ac:dyDescent="0.3">
      <c r="A36" s="16"/>
      <c r="B36" s="35"/>
      <c r="C36" s="32"/>
      <c r="D36" s="32"/>
      <c r="E36" s="37"/>
      <c r="H36" s="39"/>
      <c r="I36" s="39"/>
      <c r="J36" s="39"/>
      <c r="K36" s="39"/>
      <c r="L36" s="39"/>
      <c r="M36" s="39">
        <f t="shared" si="44"/>
        <v>0</v>
      </c>
      <c r="P36" s="39">
        <f t="shared" si="17"/>
        <v>0</v>
      </c>
      <c r="T36" s="39">
        <f t="shared" si="6"/>
        <v>0</v>
      </c>
      <c r="V36" s="39">
        <f t="shared" si="8"/>
        <v>0</v>
      </c>
    </row>
    <row r="37" spans="1:22" x14ac:dyDescent="0.3">
      <c r="A37" s="15" t="s">
        <v>4</v>
      </c>
      <c r="B37" s="14"/>
      <c r="C37" s="36"/>
      <c r="D37" s="33"/>
      <c r="E37" s="38">
        <f>E38+E41</f>
        <v>2122191.9656530498</v>
      </c>
      <c r="F37" s="38">
        <f t="shared" ref="F37" si="54">F38+F41</f>
        <v>29569</v>
      </c>
      <c r="G37" s="38">
        <f>G38+G41</f>
        <v>0</v>
      </c>
      <c r="H37" s="38">
        <f t="shared" si="47"/>
        <v>2151760.9656530498</v>
      </c>
      <c r="I37" s="38">
        <f t="shared" ref="I37:L37" si="55">I38+I41</f>
        <v>-108444.76276209476</v>
      </c>
      <c r="J37" s="38">
        <f t="shared" si="55"/>
        <v>0</v>
      </c>
      <c r="K37" s="38">
        <f t="shared" si="55"/>
        <v>0</v>
      </c>
      <c r="L37" s="38">
        <f t="shared" si="55"/>
        <v>0</v>
      </c>
      <c r="M37" s="38">
        <f t="shared" si="44"/>
        <v>2043316.2028909549</v>
      </c>
      <c r="N37" s="38">
        <f>N38+N41+N39</f>
        <v>-136049.49877289351</v>
      </c>
      <c r="O37" s="38">
        <f>O38+O41+O39</f>
        <v>0</v>
      </c>
      <c r="P37" s="38">
        <f t="shared" si="17"/>
        <v>1907266.7041180613</v>
      </c>
      <c r="Q37" s="38">
        <f>Q38+Q41+Q39+Q42</f>
        <v>50852.693443612974</v>
      </c>
      <c r="R37" s="38">
        <f t="shared" ref="R37:S37" si="56">R38+R41+R39+R42</f>
        <v>-7760.0636334689234</v>
      </c>
      <c r="S37" s="38">
        <f t="shared" si="56"/>
        <v>0</v>
      </c>
      <c r="T37" s="38">
        <f t="shared" si="6"/>
        <v>1950359.3339282053</v>
      </c>
      <c r="U37" s="38">
        <f>U38+U41+U39+U42+U40</f>
        <v>-142605</v>
      </c>
      <c r="V37" s="38">
        <f t="shared" si="8"/>
        <v>1807754.3339282053</v>
      </c>
    </row>
    <row r="38" spans="1:22" x14ac:dyDescent="0.3">
      <c r="A38" s="16" t="s">
        <v>5</v>
      </c>
      <c r="B38" s="56">
        <v>20</v>
      </c>
      <c r="C38" s="56">
        <v>50</v>
      </c>
      <c r="D38" s="56"/>
      <c r="E38" s="39">
        <f>1759276.96565305+397</f>
        <v>1759673.96565305</v>
      </c>
      <c r="F38" s="53">
        <v>29569</v>
      </c>
      <c r="G38" s="51"/>
      <c r="H38" s="39">
        <f t="shared" si="47"/>
        <v>1789242.96565305</v>
      </c>
      <c r="I38" s="39">
        <v>-79773.762762094761</v>
      </c>
      <c r="J38" s="39"/>
      <c r="K38" s="39"/>
      <c r="L38" s="39"/>
      <c r="M38" s="39">
        <f t="shared" si="44"/>
        <v>1709469.2028909551</v>
      </c>
      <c r="N38" s="50">
        <v>8892.3423667410898</v>
      </c>
      <c r="P38" s="39">
        <f t="shared" si="17"/>
        <v>1718361.5452576962</v>
      </c>
      <c r="Q38" s="39">
        <v>1446.6934436129754</v>
      </c>
      <c r="R38" s="39">
        <v>-7760.0636334689234</v>
      </c>
      <c r="T38" s="39">
        <f t="shared" si="6"/>
        <v>1712048.1750678401</v>
      </c>
      <c r="V38" s="39">
        <f t="shared" si="8"/>
        <v>1712048.1750678401</v>
      </c>
    </row>
    <row r="39" spans="1:22" x14ac:dyDescent="0.3">
      <c r="A39" s="16" t="s">
        <v>83</v>
      </c>
      <c r="B39" s="14">
        <v>10</v>
      </c>
      <c r="C39" s="14">
        <v>50</v>
      </c>
      <c r="D39" s="14" t="s">
        <v>36</v>
      </c>
      <c r="E39" s="39"/>
      <c r="F39" s="53"/>
      <c r="G39" s="51"/>
      <c r="H39" s="39"/>
      <c r="I39" s="39"/>
      <c r="J39" s="39"/>
      <c r="K39" s="39"/>
      <c r="L39" s="39"/>
      <c r="M39" s="39"/>
      <c r="N39" s="50">
        <v>28801.158860365409</v>
      </c>
      <c r="P39" s="39">
        <f t="shared" si="17"/>
        <v>28801.158860365409</v>
      </c>
      <c r="T39" s="39">
        <f t="shared" si="6"/>
        <v>28801.158860365409</v>
      </c>
      <c r="V39" s="39">
        <f t="shared" si="8"/>
        <v>28801.158860365409</v>
      </c>
    </row>
    <row r="40" spans="1:22" x14ac:dyDescent="0.3">
      <c r="A40" s="16" t="s">
        <v>5</v>
      </c>
      <c r="B40" s="14">
        <v>20</v>
      </c>
      <c r="C40" s="14">
        <v>50</v>
      </c>
      <c r="D40" s="28" t="s">
        <v>66</v>
      </c>
      <c r="E40" s="39"/>
      <c r="F40" s="53"/>
      <c r="G40" s="51"/>
      <c r="H40" s="39"/>
      <c r="I40" s="39"/>
      <c r="J40" s="39"/>
      <c r="K40" s="39"/>
      <c r="L40" s="39"/>
      <c r="M40" s="39"/>
      <c r="N40" s="50"/>
      <c r="P40" s="39"/>
      <c r="T40" s="39"/>
      <c r="U40" s="1">
        <v>801</v>
      </c>
      <c r="V40" s="39">
        <f t="shared" si="8"/>
        <v>801</v>
      </c>
    </row>
    <row r="41" spans="1:22" s="51" customFormat="1" x14ac:dyDescent="0.3">
      <c r="A41" s="64" t="s">
        <v>43</v>
      </c>
      <c r="B41" s="58">
        <v>20</v>
      </c>
      <c r="C41" s="58">
        <v>50</v>
      </c>
      <c r="D41" s="58"/>
      <c r="E41" s="65">
        <v>362518</v>
      </c>
      <c r="H41" s="39">
        <f t="shared" si="47"/>
        <v>362518</v>
      </c>
      <c r="I41" s="39">
        <v>-28671</v>
      </c>
      <c r="J41" s="39"/>
      <c r="K41" s="39"/>
      <c r="L41" s="39"/>
      <c r="M41" s="39">
        <f t="shared" si="44"/>
        <v>333847</v>
      </c>
      <c r="N41" s="63">
        <f>-170993-2750</f>
        <v>-173743</v>
      </c>
      <c r="P41" s="39">
        <f t="shared" si="17"/>
        <v>160104</v>
      </c>
      <c r="T41" s="39">
        <f t="shared" si="6"/>
        <v>160104</v>
      </c>
      <c r="U41" s="39">
        <v>-94000</v>
      </c>
      <c r="V41" s="39">
        <f t="shared" si="8"/>
        <v>66104</v>
      </c>
    </row>
    <row r="42" spans="1:22" s="51" customFormat="1" x14ac:dyDescent="0.3">
      <c r="A42" s="64" t="s">
        <v>43</v>
      </c>
      <c r="B42" s="58">
        <v>20</v>
      </c>
      <c r="C42" s="58">
        <v>50</v>
      </c>
      <c r="D42" s="28" t="s">
        <v>66</v>
      </c>
      <c r="E42" s="65"/>
      <c r="H42" s="39"/>
      <c r="I42" s="39"/>
      <c r="J42" s="39"/>
      <c r="K42" s="39"/>
      <c r="L42" s="39"/>
      <c r="M42" s="39"/>
      <c r="N42" s="63"/>
      <c r="P42" s="39"/>
      <c r="Q42" s="63">
        <v>49406</v>
      </c>
      <c r="T42" s="39">
        <f t="shared" si="6"/>
        <v>49406</v>
      </c>
      <c r="U42" s="63">
        <f>-48605-801</f>
        <v>-49406</v>
      </c>
      <c r="V42" s="39">
        <f t="shared" si="8"/>
        <v>0</v>
      </c>
    </row>
    <row r="43" spans="1:22" x14ac:dyDescent="0.3">
      <c r="A43" s="16"/>
      <c r="B43" s="56"/>
      <c r="C43" s="56"/>
      <c r="D43" s="56"/>
      <c r="E43" s="39"/>
      <c r="F43" s="51"/>
      <c r="G43" s="51"/>
      <c r="H43" s="39"/>
      <c r="I43" s="39"/>
      <c r="J43" s="39"/>
      <c r="K43" s="39"/>
      <c r="L43" s="39"/>
      <c r="M43" s="39">
        <f t="shared" si="44"/>
        <v>0</v>
      </c>
      <c r="P43" s="39">
        <f t="shared" si="17"/>
        <v>0</v>
      </c>
      <c r="T43" s="39">
        <f t="shared" si="6"/>
        <v>0</v>
      </c>
      <c r="V43" s="39">
        <f t="shared" si="8"/>
        <v>0</v>
      </c>
    </row>
    <row r="44" spans="1:22" x14ac:dyDescent="0.3">
      <c r="A44" s="19" t="s">
        <v>13</v>
      </c>
      <c r="B44" s="56"/>
      <c r="C44" s="33"/>
      <c r="D44" s="33"/>
      <c r="E44" s="74">
        <f>E45+E46+E48</f>
        <v>2046389.5418590847</v>
      </c>
      <c r="F44" s="74">
        <f t="shared" ref="F44:G44" si="57">F45+F46+F48</f>
        <v>-271472.75459884782</v>
      </c>
      <c r="G44" s="74">
        <f t="shared" si="57"/>
        <v>141274.784226574</v>
      </c>
      <c r="H44" s="74">
        <f>E44+F44+G44</f>
        <v>1916191.5714868109</v>
      </c>
      <c r="I44" s="74">
        <f>I45+I46+I48</f>
        <v>0</v>
      </c>
      <c r="J44" s="74">
        <f t="shared" ref="J44:L44" si="58">J45+J46+J48</f>
        <v>963842.76508676296</v>
      </c>
      <c r="K44" s="74">
        <f t="shared" si="58"/>
        <v>0</v>
      </c>
      <c r="L44" s="74">
        <f t="shared" si="58"/>
        <v>0</v>
      </c>
      <c r="M44" s="38">
        <f t="shared" si="44"/>
        <v>2880034.3365735738</v>
      </c>
      <c r="N44" s="74">
        <f>N45+N46+N48+N47</f>
        <v>-472402.51244294457</v>
      </c>
      <c r="O44" s="74">
        <f>O45+O46+O48+O47</f>
        <v>77099.248419816082</v>
      </c>
      <c r="P44" s="38">
        <f t="shared" si="17"/>
        <v>2484731.0725504453</v>
      </c>
      <c r="Q44" s="74">
        <f>Q45+Q46+Q48+Q47</f>
        <v>-26161.99707951834</v>
      </c>
      <c r="R44" s="74">
        <f t="shared" ref="R44" si="59">R45+R46+R48+R47</f>
        <v>0</v>
      </c>
      <c r="S44" s="74">
        <f>S45+S46+S48+S47</f>
        <v>-94715.920116002249</v>
      </c>
      <c r="T44" s="38">
        <f t="shared" si="6"/>
        <v>2363853.155354925</v>
      </c>
      <c r="U44" s="74">
        <f>U45+U46+U48+U47</f>
        <v>-717833.85767183523</v>
      </c>
      <c r="V44" s="38">
        <f t="shared" si="8"/>
        <v>1646019.2976830897</v>
      </c>
    </row>
    <row r="45" spans="1:22" x14ac:dyDescent="0.3">
      <c r="A45" s="16" t="s">
        <v>8</v>
      </c>
      <c r="B45" s="56">
        <v>20</v>
      </c>
      <c r="C45" s="56">
        <v>55</v>
      </c>
      <c r="D45" s="56"/>
      <c r="E45" s="39">
        <v>369512.3319447175</v>
      </c>
      <c r="F45" s="53">
        <v>-7281.4593510200702</v>
      </c>
      <c r="G45" s="39">
        <v>141274.784226574</v>
      </c>
      <c r="H45" s="39">
        <f t="shared" si="47"/>
        <v>503505.65682027146</v>
      </c>
      <c r="I45" s="39"/>
      <c r="J45" s="39">
        <v>5635.7650867629718</v>
      </c>
      <c r="K45" s="39"/>
      <c r="L45" s="39"/>
      <c r="M45" s="39">
        <f t="shared" si="44"/>
        <v>509141.42190703441</v>
      </c>
      <c r="N45" s="50">
        <v>-38393.9341658142</v>
      </c>
      <c r="P45" s="39">
        <f t="shared" si="17"/>
        <v>470747.48774122022</v>
      </c>
      <c r="Q45" s="39">
        <v>-26161.99707951834</v>
      </c>
      <c r="R45" s="39"/>
      <c r="S45" s="50">
        <v>-95450.371975423826</v>
      </c>
      <c r="T45" s="39">
        <f t="shared" si="6"/>
        <v>349135.11868627806</v>
      </c>
      <c r="U45" s="50">
        <v>-163547.9</v>
      </c>
      <c r="V45" s="39">
        <f t="shared" si="8"/>
        <v>185587.21868627807</v>
      </c>
    </row>
    <row r="46" spans="1:22" x14ac:dyDescent="0.3">
      <c r="A46" s="16" t="s">
        <v>9</v>
      </c>
      <c r="B46" s="56">
        <v>20</v>
      </c>
      <c r="C46" s="56">
        <v>55</v>
      </c>
      <c r="D46" s="56" t="s">
        <v>10</v>
      </c>
      <c r="E46" s="39">
        <v>45828.209914367297</v>
      </c>
      <c r="F46" s="53">
        <v>-944.29524782773603</v>
      </c>
      <c r="G46" s="51"/>
      <c r="H46" s="39">
        <f t="shared" si="47"/>
        <v>44883.91466653956</v>
      </c>
      <c r="I46" s="39"/>
      <c r="J46" s="39"/>
      <c r="K46" s="39"/>
      <c r="L46" s="39"/>
      <c r="M46" s="39">
        <f t="shared" si="44"/>
        <v>44883.91466653956</v>
      </c>
      <c r="P46" s="39">
        <f t="shared" si="17"/>
        <v>44883.91466653956</v>
      </c>
      <c r="S46" s="79">
        <v>734.45185942157286</v>
      </c>
      <c r="T46" s="39">
        <f t="shared" si="6"/>
        <v>45618.36652596113</v>
      </c>
      <c r="U46" s="50">
        <v>3092.0423281648218</v>
      </c>
      <c r="V46" s="39">
        <f t="shared" si="8"/>
        <v>48710.408854125955</v>
      </c>
    </row>
    <row r="47" spans="1:22" x14ac:dyDescent="0.3">
      <c r="A47" s="16" t="s">
        <v>84</v>
      </c>
      <c r="B47" s="14">
        <v>20</v>
      </c>
      <c r="C47" s="14">
        <v>55</v>
      </c>
      <c r="D47" s="14" t="s">
        <v>85</v>
      </c>
      <c r="E47" s="39"/>
      <c r="F47" s="53"/>
      <c r="G47" s="51"/>
      <c r="H47" s="39"/>
      <c r="I47" s="39"/>
      <c r="J47" s="39"/>
      <c r="K47" s="39"/>
      <c r="L47" s="39"/>
      <c r="M47" s="39"/>
      <c r="N47" s="50">
        <v>-15435.578277130351</v>
      </c>
      <c r="O47" s="50">
        <v>77099.248419816082</v>
      </c>
      <c r="P47" s="39">
        <f t="shared" si="17"/>
        <v>61663.670142685733</v>
      </c>
      <c r="T47" s="39">
        <f t="shared" si="6"/>
        <v>61663.670142685733</v>
      </c>
      <c r="V47" s="39">
        <f t="shared" si="8"/>
        <v>61663.670142685733</v>
      </c>
    </row>
    <row r="48" spans="1:22" s="51" customFormat="1" x14ac:dyDescent="0.3">
      <c r="A48" s="64" t="s">
        <v>44</v>
      </c>
      <c r="B48" s="58">
        <v>20</v>
      </c>
      <c r="C48" s="58">
        <v>55</v>
      </c>
      <c r="D48" s="58"/>
      <c r="E48" s="65">
        <v>1631049</v>
      </c>
      <c r="F48" s="65">
        <v>-263247</v>
      </c>
      <c r="G48" s="65"/>
      <c r="H48" s="65">
        <f t="shared" si="47"/>
        <v>1367802</v>
      </c>
      <c r="I48" s="65"/>
      <c r="J48" s="65">
        <v>958207</v>
      </c>
      <c r="K48" s="65"/>
      <c r="L48" s="65"/>
      <c r="M48" s="65">
        <f t="shared" si="44"/>
        <v>2326009</v>
      </c>
      <c r="N48" s="63">
        <v>-418573</v>
      </c>
      <c r="P48" s="65">
        <f t="shared" si="17"/>
        <v>1907436</v>
      </c>
      <c r="T48" s="65">
        <f t="shared" si="6"/>
        <v>1907436</v>
      </c>
      <c r="U48" s="50">
        <v>-557378</v>
      </c>
      <c r="V48" s="65">
        <f>T48+U48</f>
        <v>1350058</v>
      </c>
    </row>
    <row r="49" spans="1:22" x14ac:dyDescent="0.3">
      <c r="A49" s="16"/>
      <c r="B49" s="56"/>
      <c r="C49" s="56"/>
      <c r="D49" s="56"/>
      <c r="E49" s="39"/>
      <c r="F49" s="51"/>
      <c r="G49" s="51"/>
      <c r="H49" s="39"/>
      <c r="I49" s="39"/>
      <c r="J49" s="39"/>
      <c r="K49" s="39"/>
      <c r="L49" s="39"/>
      <c r="M49" s="39">
        <f t="shared" si="44"/>
        <v>0</v>
      </c>
      <c r="P49" s="39">
        <f t="shared" si="17"/>
        <v>0</v>
      </c>
      <c r="T49" s="39">
        <f t="shared" si="6"/>
        <v>0</v>
      </c>
      <c r="V49" s="65">
        <f t="shared" ref="V49:V58" si="60">T49+U49</f>
        <v>0</v>
      </c>
    </row>
    <row r="50" spans="1:22" x14ac:dyDescent="0.3">
      <c r="A50" s="15" t="s">
        <v>53</v>
      </c>
      <c r="B50" s="56"/>
      <c r="C50" s="56"/>
      <c r="D50" s="56"/>
      <c r="E50" s="74">
        <f>E51</f>
        <v>58290</v>
      </c>
      <c r="F50" s="74">
        <f>F51</f>
        <v>0</v>
      </c>
      <c r="G50" s="74">
        <f>G51</f>
        <v>0</v>
      </c>
      <c r="H50" s="74">
        <f t="shared" si="47"/>
        <v>58290</v>
      </c>
      <c r="I50" s="74">
        <f>I51</f>
        <v>-18250</v>
      </c>
      <c r="J50" s="74">
        <f>J51</f>
        <v>3218</v>
      </c>
      <c r="K50" s="74">
        <f>K51</f>
        <v>0</v>
      </c>
      <c r="L50" s="74">
        <f>L51</f>
        <v>0</v>
      </c>
      <c r="M50" s="38">
        <f>H50+I50+J50+K50+L50</f>
        <v>43258</v>
      </c>
      <c r="N50" s="74">
        <f>N51</f>
        <v>-31319</v>
      </c>
      <c r="O50" s="74">
        <f>O51</f>
        <v>0</v>
      </c>
      <c r="P50" s="38">
        <f t="shared" si="17"/>
        <v>11939</v>
      </c>
      <c r="Q50" s="74">
        <f>Q51</f>
        <v>0</v>
      </c>
      <c r="R50" s="74">
        <f t="shared" ref="R50:U50" si="61">R51</f>
        <v>0</v>
      </c>
      <c r="S50" s="74">
        <f t="shared" si="61"/>
        <v>0</v>
      </c>
      <c r="T50" s="38">
        <f t="shared" si="6"/>
        <v>11939</v>
      </c>
      <c r="U50" s="74">
        <f t="shared" si="61"/>
        <v>-11939</v>
      </c>
      <c r="V50" s="65">
        <v>0</v>
      </c>
    </row>
    <row r="51" spans="1:22" s="51" customFormat="1" x14ac:dyDescent="0.3">
      <c r="A51" s="64" t="s">
        <v>45</v>
      </c>
      <c r="B51" s="58">
        <v>20</v>
      </c>
      <c r="C51" s="58">
        <v>15</v>
      </c>
      <c r="D51" s="58" t="s">
        <v>38</v>
      </c>
      <c r="E51" s="65">
        <v>58290</v>
      </c>
      <c r="H51" s="39">
        <f t="shared" si="47"/>
        <v>58290</v>
      </c>
      <c r="I51" s="39">
        <v>-18250</v>
      </c>
      <c r="J51" s="39">
        <v>3218</v>
      </c>
      <c r="K51" s="39"/>
      <c r="L51" s="39"/>
      <c r="M51" s="39">
        <f>H51+I51+J51+K51+L51</f>
        <v>43258</v>
      </c>
      <c r="N51" s="63">
        <f>-30000-1319</f>
        <v>-31319</v>
      </c>
      <c r="P51" s="39">
        <f t="shared" si="17"/>
        <v>11939</v>
      </c>
      <c r="T51" s="39">
        <f t="shared" si="6"/>
        <v>11939</v>
      </c>
      <c r="U51" s="63">
        <v>-11939</v>
      </c>
      <c r="V51" s="65">
        <f t="shared" si="60"/>
        <v>0</v>
      </c>
    </row>
    <row r="52" spans="1:22" x14ac:dyDescent="0.3">
      <c r="A52" s="16"/>
      <c r="B52" s="56"/>
      <c r="C52" s="56"/>
      <c r="D52" s="56"/>
      <c r="E52" s="39"/>
      <c r="F52" s="51"/>
      <c r="G52" s="51"/>
      <c r="H52" s="39">
        <f t="shared" si="47"/>
        <v>0</v>
      </c>
      <c r="I52" s="39"/>
      <c r="J52" s="39"/>
      <c r="K52" s="39"/>
      <c r="L52" s="39"/>
      <c r="M52" s="39">
        <f t="shared" si="44"/>
        <v>0</v>
      </c>
      <c r="P52" s="39">
        <f t="shared" si="17"/>
        <v>0</v>
      </c>
      <c r="T52" s="39">
        <f t="shared" si="6"/>
        <v>0</v>
      </c>
      <c r="V52" s="65">
        <f t="shared" si="60"/>
        <v>0</v>
      </c>
    </row>
    <row r="53" spans="1:22" hidden="1" x14ac:dyDescent="0.3">
      <c r="A53" s="15" t="s">
        <v>71</v>
      </c>
      <c r="B53" s="56"/>
      <c r="C53" s="56"/>
      <c r="D53" s="56"/>
      <c r="E53" s="39"/>
      <c r="F53" s="51"/>
      <c r="G53" s="51"/>
      <c r="H53" s="39"/>
      <c r="I53" s="40">
        <f>I54+I55+I56+I57+I58</f>
        <v>-3945158</v>
      </c>
      <c r="J53" s="40">
        <f t="shared" ref="J53:L53" si="62">J54+J55+J56+J57+J58</f>
        <v>0</v>
      </c>
      <c r="K53" s="40">
        <f t="shared" si="62"/>
        <v>3945158</v>
      </c>
      <c r="L53" s="40">
        <f t="shared" si="62"/>
        <v>0</v>
      </c>
      <c r="M53" s="39">
        <f>H53+I53+J53+K53+L53</f>
        <v>0</v>
      </c>
      <c r="P53" s="39">
        <f t="shared" si="17"/>
        <v>0</v>
      </c>
      <c r="T53" s="39">
        <f t="shared" si="6"/>
        <v>0</v>
      </c>
      <c r="V53" s="65">
        <f t="shared" si="60"/>
        <v>0</v>
      </c>
    </row>
    <row r="54" spans="1:22" hidden="1" x14ac:dyDescent="0.3">
      <c r="A54" s="64" t="s">
        <v>8</v>
      </c>
      <c r="B54" s="58">
        <v>20</v>
      </c>
      <c r="C54" s="58">
        <v>55</v>
      </c>
      <c r="D54" s="58" t="s">
        <v>66</v>
      </c>
      <c r="E54" s="39"/>
      <c r="F54" s="51"/>
      <c r="G54" s="51"/>
      <c r="H54" s="39"/>
      <c r="I54" s="39">
        <v>-2045158</v>
      </c>
      <c r="J54" s="40"/>
      <c r="K54" s="39">
        <v>2045158</v>
      </c>
      <c r="L54" s="39"/>
      <c r="M54" s="39">
        <f t="shared" ref="M54:M58" si="63">H54+I54+J54+K54+L54</f>
        <v>0</v>
      </c>
      <c r="P54" s="39">
        <f t="shared" si="17"/>
        <v>0</v>
      </c>
      <c r="T54" s="39">
        <f t="shared" si="6"/>
        <v>0</v>
      </c>
      <c r="V54" s="65">
        <f t="shared" si="60"/>
        <v>0</v>
      </c>
    </row>
    <row r="55" spans="1:22" hidden="1" x14ac:dyDescent="0.3">
      <c r="A55" s="66" t="s">
        <v>73</v>
      </c>
      <c r="B55" s="56">
        <v>20</v>
      </c>
      <c r="C55" s="56">
        <v>15</v>
      </c>
      <c r="D55" s="56" t="s">
        <v>77</v>
      </c>
      <c r="E55" s="39">
        <v>0</v>
      </c>
      <c r="F55" s="51"/>
      <c r="G55" s="51"/>
      <c r="H55" s="39"/>
      <c r="I55" s="39">
        <v>-120000</v>
      </c>
      <c r="J55" s="39"/>
      <c r="K55" s="39">
        <v>120000</v>
      </c>
      <c r="L55" s="39"/>
      <c r="M55" s="39">
        <f t="shared" si="63"/>
        <v>0</v>
      </c>
      <c r="P55" s="39">
        <f t="shared" si="17"/>
        <v>0</v>
      </c>
      <c r="T55" s="39">
        <f t="shared" si="6"/>
        <v>0</v>
      </c>
      <c r="V55" s="65">
        <f t="shared" si="60"/>
        <v>0</v>
      </c>
    </row>
    <row r="56" spans="1:22" hidden="1" x14ac:dyDescent="0.3">
      <c r="A56" s="66" t="s">
        <v>74</v>
      </c>
      <c r="B56" s="56">
        <v>20</v>
      </c>
      <c r="C56" s="56">
        <v>15</v>
      </c>
      <c r="D56" s="56" t="s">
        <v>78</v>
      </c>
      <c r="E56" s="39">
        <v>0</v>
      </c>
      <c r="F56" s="51"/>
      <c r="G56" s="51"/>
      <c r="H56" s="39"/>
      <c r="I56" s="39">
        <v>-1045000</v>
      </c>
      <c r="J56" s="39"/>
      <c r="K56" s="39">
        <v>1045000</v>
      </c>
      <c r="L56" s="39"/>
      <c r="M56" s="39">
        <f t="shared" si="63"/>
        <v>0</v>
      </c>
      <c r="P56" s="39">
        <f t="shared" si="17"/>
        <v>0</v>
      </c>
      <c r="T56" s="39">
        <f t="shared" si="6"/>
        <v>0</v>
      </c>
      <c r="V56" s="65">
        <f t="shared" si="60"/>
        <v>0</v>
      </c>
    </row>
    <row r="57" spans="1:22" hidden="1" x14ac:dyDescent="0.3">
      <c r="A57" s="66" t="s">
        <v>76</v>
      </c>
      <c r="B57" s="56">
        <v>20</v>
      </c>
      <c r="C57" s="56">
        <v>15</v>
      </c>
      <c r="D57" s="56" t="s">
        <v>79</v>
      </c>
      <c r="E57" s="39">
        <v>0</v>
      </c>
      <c r="F57" s="51"/>
      <c r="G57" s="51"/>
      <c r="H57" s="39"/>
      <c r="I57" s="39">
        <v>-135000</v>
      </c>
      <c r="J57" s="39"/>
      <c r="K57" s="39">
        <v>135000</v>
      </c>
      <c r="L57" s="39"/>
      <c r="M57" s="39">
        <f t="shared" si="63"/>
        <v>0</v>
      </c>
      <c r="P57" s="39">
        <f t="shared" si="17"/>
        <v>0</v>
      </c>
      <c r="T57" s="39">
        <f t="shared" si="6"/>
        <v>0</v>
      </c>
      <c r="V57" s="65">
        <f t="shared" si="60"/>
        <v>0</v>
      </c>
    </row>
    <row r="58" spans="1:22" hidden="1" x14ac:dyDescent="0.3">
      <c r="A58" s="66" t="s">
        <v>75</v>
      </c>
      <c r="B58" s="56">
        <v>20</v>
      </c>
      <c r="C58" s="56">
        <v>15</v>
      </c>
      <c r="D58" s="56" t="s">
        <v>80</v>
      </c>
      <c r="E58" s="39">
        <v>0</v>
      </c>
      <c r="F58" s="51"/>
      <c r="G58" s="51"/>
      <c r="H58" s="39"/>
      <c r="I58" s="39">
        <v>-600000</v>
      </c>
      <c r="J58" s="39"/>
      <c r="K58" s="39">
        <v>600000</v>
      </c>
      <c r="L58" s="39"/>
      <c r="M58" s="39">
        <f t="shared" si="63"/>
        <v>0</v>
      </c>
      <c r="P58" s="39">
        <f t="shared" si="17"/>
        <v>0</v>
      </c>
      <c r="T58" s="39">
        <f t="shared" si="6"/>
        <v>0</v>
      </c>
      <c r="V58" s="65">
        <f t="shared" si="60"/>
        <v>0</v>
      </c>
    </row>
    <row r="59" spans="1:22" hidden="1" x14ac:dyDescent="0.3">
      <c r="A59" s="67"/>
      <c r="B59" s="14"/>
      <c r="C59" s="14"/>
      <c r="D59" s="14"/>
      <c r="E59" s="39"/>
      <c r="H59" s="39"/>
      <c r="I59" s="39"/>
      <c r="J59" s="39"/>
      <c r="K59" s="39"/>
      <c r="L59" s="39"/>
      <c r="M59" s="39"/>
      <c r="P59" s="39">
        <f t="shared" si="17"/>
        <v>0</v>
      </c>
      <c r="T59" s="39">
        <f t="shared" si="6"/>
        <v>0</v>
      </c>
      <c r="V59" s="39">
        <f t="shared" si="8"/>
        <v>0</v>
      </c>
    </row>
    <row r="60" spans="1:22" x14ac:dyDescent="0.3">
      <c r="A60" s="15" t="s">
        <v>12</v>
      </c>
      <c r="B60" s="14">
        <v>60</v>
      </c>
      <c r="C60" s="33">
        <v>610</v>
      </c>
      <c r="D60" s="34"/>
      <c r="E60" s="40">
        <v>467.06352002390702</v>
      </c>
      <c r="H60" s="39">
        <f t="shared" si="47"/>
        <v>467.06352002390702</v>
      </c>
      <c r="I60" s="39"/>
      <c r="J60" s="39"/>
      <c r="K60" s="39"/>
      <c r="L60" s="39"/>
      <c r="M60" s="39">
        <f t="shared" si="44"/>
        <v>467.06352002390702</v>
      </c>
      <c r="P60" s="39">
        <f t="shared" si="17"/>
        <v>467.06352002390702</v>
      </c>
      <c r="T60" s="39">
        <f t="shared" si="6"/>
        <v>467.06352002390702</v>
      </c>
      <c r="V60" s="39">
        <f t="shared" si="8"/>
        <v>467.06352002390702</v>
      </c>
    </row>
    <row r="61" spans="1:22" x14ac:dyDescent="0.3">
      <c r="A61" s="12"/>
      <c r="B61" s="14"/>
      <c r="C61" s="33"/>
      <c r="D61" s="34"/>
      <c r="H61" s="39"/>
      <c r="I61" s="39"/>
      <c r="J61" s="39"/>
      <c r="K61" s="39"/>
      <c r="L61" s="39"/>
      <c r="M61" s="39">
        <f t="shared" si="44"/>
        <v>0</v>
      </c>
      <c r="P61" s="39">
        <f t="shared" si="17"/>
        <v>0</v>
      </c>
      <c r="T61" s="39">
        <f t="shared" si="6"/>
        <v>0</v>
      </c>
      <c r="V61" s="39">
        <f t="shared" si="8"/>
        <v>0</v>
      </c>
    </row>
    <row r="62" spans="1:22" ht="15.5" x14ac:dyDescent="0.35">
      <c r="A62" s="8" t="s">
        <v>19</v>
      </c>
      <c r="B62" s="35"/>
      <c r="C62" s="41"/>
      <c r="D62" s="32"/>
      <c r="E62" s="37">
        <f>E66+E74+E82</f>
        <v>3605876.8327119597</v>
      </c>
      <c r="F62" s="37">
        <f>F66+F74+F82</f>
        <v>-229821.41252673086</v>
      </c>
      <c r="G62" s="37">
        <f>G66+G74+G82</f>
        <v>400375.963696033</v>
      </c>
      <c r="H62" s="37">
        <f>E62+F62+G62</f>
        <v>3776431.3838812616</v>
      </c>
      <c r="I62" s="37">
        <f>I66+I74+I82</f>
        <v>-721133.25814267807</v>
      </c>
      <c r="J62" s="37">
        <f>J66+J74+J82</f>
        <v>268195.88691619853</v>
      </c>
      <c r="K62" s="37">
        <f>K66+K74+K82</f>
        <v>110833</v>
      </c>
      <c r="L62" s="37">
        <f t="shared" ref="L62" si="64">L66+L74+L82</f>
        <v>0</v>
      </c>
      <c r="M62" s="37">
        <f t="shared" si="44"/>
        <v>3434327.0126547823</v>
      </c>
      <c r="N62" s="37">
        <f>N66+N74+N82</f>
        <v>-2012087.6078582983</v>
      </c>
      <c r="O62" s="37">
        <f>O66+O74+O82</f>
        <v>6118501.0301400786</v>
      </c>
      <c r="P62" s="37">
        <f>M62+N62+O62</f>
        <v>7540740.4349365626</v>
      </c>
      <c r="Q62" s="37">
        <f t="shared" ref="Q62:R62" si="65">Q63+Q66+Q74+Q82</f>
        <v>-73254.481147124301</v>
      </c>
      <c r="R62" s="37">
        <f t="shared" si="65"/>
        <v>-4769.7537406908978</v>
      </c>
      <c r="S62" s="37">
        <f>S63+S66+S74+S82</f>
        <v>-307555.6295302877</v>
      </c>
      <c r="T62" s="37">
        <f t="shared" si="6"/>
        <v>7155160.5705184601</v>
      </c>
      <c r="U62" s="37">
        <f>U63+U66+U74+U82</f>
        <v>-327340.91534367035</v>
      </c>
      <c r="V62" s="37">
        <f t="shared" si="8"/>
        <v>6827819.65517479</v>
      </c>
    </row>
    <row r="63" spans="1:22" ht="15.5" x14ac:dyDescent="0.3">
      <c r="A63" s="15" t="s">
        <v>6</v>
      </c>
      <c r="B63" s="35"/>
      <c r="C63" s="32"/>
      <c r="D63" s="32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8">
        <f>Q64</f>
        <v>0</v>
      </c>
      <c r="R63" s="38">
        <f t="shared" ref="R63:U63" si="66">R64</f>
        <v>0</v>
      </c>
      <c r="S63" s="38">
        <f t="shared" si="66"/>
        <v>1000</v>
      </c>
      <c r="T63" s="37">
        <f t="shared" si="6"/>
        <v>1000</v>
      </c>
      <c r="U63" s="38">
        <f t="shared" si="66"/>
        <v>0</v>
      </c>
      <c r="V63" s="37">
        <f t="shared" si="8"/>
        <v>1000</v>
      </c>
    </row>
    <row r="64" spans="1:22" ht="15.5" x14ac:dyDescent="0.3">
      <c r="A64" s="16" t="s">
        <v>25</v>
      </c>
      <c r="B64" s="14">
        <v>20</v>
      </c>
      <c r="C64" s="14">
        <v>45</v>
      </c>
      <c r="D64" s="32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50">
        <v>1000</v>
      </c>
      <c r="T64" s="37">
        <f t="shared" si="6"/>
        <v>1000</v>
      </c>
      <c r="U64" s="50"/>
      <c r="V64" s="37">
        <f t="shared" si="8"/>
        <v>1000</v>
      </c>
    </row>
    <row r="65" spans="1:22" ht="15.5" x14ac:dyDescent="0.35">
      <c r="A65" s="8"/>
      <c r="B65" s="35"/>
      <c r="C65" s="41"/>
      <c r="D65" s="32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>
        <f t="shared" si="6"/>
        <v>0</v>
      </c>
      <c r="U65" s="37"/>
      <c r="V65" s="37">
        <f t="shared" si="8"/>
        <v>0</v>
      </c>
    </row>
    <row r="66" spans="1:22" x14ac:dyDescent="0.3">
      <c r="A66" s="15" t="s">
        <v>4</v>
      </c>
      <c r="B66" s="14"/>
      <c r="C66" s="33"/>
      <c r="D66" s="33"/>
      <c r="E66" s="38">
        <f>E67+E69+E70+E71</f>
        <v>2150070.9087262303</v>
      </c>
      <c r="F66" s="38">
        <f>F67+F69+F70+F71</f>
        <v>-207297</v>
      </c>
      <c r="G66" s="38">
        <f>G67+G69+G70+G71</f>
        <v>0</v>
      </c>
      <c r="H66" s="38">
        <f>E66+F66+G66</f>
        <v>1942773.9087262303</v>
      </c>
      <c r="I66" s="38">
        <f>I67+I69+I70+I71+I72</f>
        <v>-468220.25814267801</v>
      </c>
      <c r="J66" s="38">
        <f>J67+J69+J70+J71+J72</f>
        <v>22037</v>
      </c>
      <c r="K66" s="38">
        <f t="shared" ref="K66:L66" si="67">K67+K69+K70+K71+K72</f>
        <v>0</v>
      </c>
      <c r="L66" s="38">
        <f t="shared" si="67"/>
        <v>0</v>
      </c>
      <c r="M66" s="38">
        <f t="shared" si="44"/>
        <v>1496590.6505835522</v>
      </c>
      <c r="N66" s="38">
        <f>N67+N69+N70+N71+N68+N72</f>
        <v>1131.4593026150942</v>
      </c>
      <c r="O66" s="38">
        <f>O67+O69+O70+O71+O68+O72</f>
        <v>0</v>
      </c>
      <c r="P66" s="38">
        <f t="shared" si="17"/>
        <v>1497722.1098861673</v>
      </c>
      <c r="Q66" s="38">
        <f>Q67+Q69+Q70+Q71+Q68+Q72</f>
        <v>889.21583510538358</v>
      </c>
      <c r="R66" s="38">
        <f t="shared" ref="R66:S66" si="68">R67+R69+R70+R71+R68+R72</f>
        <v>-4769.7537406908978</v>
      </c>
      <c r="S66" s="38">
        <f t="shared" si="68"/>
        <v>0</v>
      </c>
      <c r="T66" s="38">
        <f t="shared" si="6"/>
        <v>1493841.5719805819</v>
      </c>
      <c r="U66" s="38">
        <f t="shared" ref="U66" si="69">U67+U69+U70+U71+U68+U72</f>
        <v>0</v>
      </c>
      <c r="V66" s="38">
        <f t="shared" si="8"/>
        <v>1493841.5719805819</v>
      </c>
    </row>
    <row r="67" spans="1:22" x14ac:dyDescent="0.3">
      <c r="A67" s="16" t="s">
        <v>5</v>
      </c>
      <c r="B67" s="14">
        <v>20</v>
      </c>
      <c r="C67" s="14">
        <v>50</v>
      </c>
      <c r="D67" s="14"/>
      <c r="E67" s="39">
        <f>1081345.90872623+244</f>
        <v>1081589.90872623</v>
      </c>
      <c r="F67" s="3">
        <v>18174</v>
      </c>
      <c r="H67" s="39">
        <f t="shared" ref="H67:H147" si="70">E67+F67+G67</f>
        <v>1099763.90872623</v>
      </c>
      <c r="I67" s="39">
        <v>-49033.258142678023</v>
      </c>
      <c r="J67" s="39"/>
      <c r="K67" s="39"/>
      <c r="L67" s="39"/>
      <c r="M67" s="39">
        <f t="shared" si="44"/>
        <v>1050730.650583552</v>
      </c>
      <c r="N67" s="50">
        <v>5465.713333114425</v>
      </c>
      <c r="P67" s="39">
        <f t="shared" si="17"/>
        <v>1056196.3639166665</v>
      </c>
      <c r="Q67" s="39">
        <v>889.21583510538358</v>
      </c>
      <c r="R67" s="39">
        <v>-4769.7537406908978</v>
      </c>
      <c r="T67" s="39">
        <f t="shared" si="6"/>
        <v>1052315.826011081</v>
      </c>
      <c r="V67" s="39">
        <f t="shared" si="8"/>
        <v>1052315.826011081</v>
      </c>
    </row>
    <row r="68" spans="1:22" x14ac:dyDescent="0.3">
      <c r="A68" s="16" t="s">
        <v>83</v>
      </c>
      <c r="B68" s="14">
        <v>10</v>
      </c>
      <c r="C68" s="14">
        <v>50</v>
      </c>
      <c r="D68" s="14" t="s">
        <v>36</v>
      </c>
      <c r="E68" s="39"/>
      <c r="F68" s="3"/>
      <c r="H68" s="39"/>
      <c r="I68" s="39"/>
      <c r="J68" s="39"/>
      <c r="K68" s="39"/>
      <c r="L68" s="39"/>
      <c r="M68" s="39"/>
      <c r="N68" s="50">
        <v>17702.745969500669</v>
      </c>
      <c r="P68" s="39">
        <f t="shared" si="17"/>
        <v>17702.745969500669</v>
      </c>
      <c r="T68" s="39">
        <f t="shared" si="6"/>
        <v>17702.745969500669</v>
      </c>
      <c r="V68" s="39">
        <f t="shared" si="8"/>
        <v>17702.745969500669</v>
      </c>
    </row>
    <row r="69" spans="1:22" s="51" customFormat="1" x14ac:dyDescent="0.3">
      <c r="A69" s="54" t="s">
        <v>39</v>
      </c>
      <c r="B69" s="52">
        <v>10</v>
      </c>
      <c r="C69" s="52">
        <v>50</v>
      </c>
      <c r="D69" s="52" t="s">
        <v>36</v>
      </c>
      <c r="E69" s="39">
        <v>423823</v>
      </c>
      <c r="H69" s="39">
        <f t="shared" si="70"/>
        <v>423823</v>
      </c>
      <c r="I69" s="39"/>
      <c r="J69" s="39"/>
      <c r="K69" s="39"/>
      <c r="L69" s="39"/>
      <c r="M69" s="39">
        <f>H69+I69+J69+K69+L69</f>
        <v>423823</v>
      </c>
      <c r="P69" s="39">
        <f t="shared" si="17"/>
        <v>423823</v>
      </c>
      <c r="T69" s="39">
        <f t="shared" si="6"/>
        <v>423823</v>
      </c>
      <c r="V69" s="39">
        <f t="shared" si="8"/>
        <v>423823</v>
      </c>
    </row>
    <row r="70" spans="1:22" s="51" customFormat="1" x14ac:dyDescent="0.3">
      <c r="A70" s="54" t="s">
        <v>40</v>
      </c>
      <c r="B70" s="52">
        <v>20</v>
      </c>
      <c r="C70" s="52">
        <v>50</v>
      </c>
      <c r="D70" s="52"/>
      <c r="E70" s="39">
        <v>236026</v>
      </c>
      <c r="F70" s="63">
        <f>110706-124238</f>
        <v>-13532</v>
      </c>
      <c r="H70" s="39">
        <f t="shared" si="70"/>
        <v>222494</v>
      </c>
      <c r="I70" s="63">
        <v>-222494</v>
      </c>
      <c r="J70" s="39"/>
      <c r="K70" s="39"/>
      <c r="L70" s="39"/>
      <c r="M70" s="39">
        <f>H70+I70+J70+K70+L70</f>
        <v>0</v>
      </c>
      <c r="P70" s="39">
        <f>M70+N70+O70</f>
        <v>0</v>
      </c>
      <c r="T70" s="39">
        <f t="shared" si="6"/>
        <v>0</v>
      </c>
      <c r="V70" s="39">
        <f t="shared" si="8"/>
        <v>0</v>
      </c>
    </row>
    <row r="71" spans="1:22" s="51" customFormat="1" x14ac:dyDescent="0.3">
      <c r="A71" s="54" t="s">
        <v>40</v>
      </c>
      <c r="B71" s="52">
        <v>20</v>
      </c>
      <c r="C71" s="52">
        <v>50</v>
      </c>
      <c r="D71" s="52" t="s">
        <v>23</v>
      </c>
      <c r="E71" s="39">
        <v>408632</v>
      </c>
      <c r="F71" s="53">
        <v>-211939</v>
      </c>
      <c r="H71" s="39">
        <f>E71+F71+G71</f>
        <v>196693</v>
      </c>
      <c r="I71" s="63">
        <v>-196693</v>
      </c>
      <c r="J71" s="39"/>
      <c r="K71" s="39"/>
      <c r="L71" s="39"/>
      <c r="M71" s="39">
        <f t="shared" ref="M71:M72" si="71">H71+I71+J71+K71+L71</f>
        <v>0</v>
      </c>
      <c r="P71" s="39">
        <f t="shared" si="17"/>
        <v>0</v>
      </c>
      <c r="T71" s="39">
        <f t="shared" si="6"/>
        <v>0</v>
      </c>
      <c r="V71" s="39">
        <f t="shared" ref="V71:V134" si="72">T71+U71</f>
        <v>0</v>
      </c>
    </row>
    <row r="72" spans="1:22" s="51" customFormat="1" hidden="1" x14ac:dyDescent="0.3">
      <c r="A72" s="66" t="s">
        <v>67</v>
      </c>
      <c r="B72" s="28">
        <v>20</v>
      </c>
      <c r="C72" s="28">
        <v>50</v>
      </c>
      <c r="D72" s="28" t="s">
        <v>68</v>
      </c>
      <c r="E72" s="39"/>
      <c r="F72" s="53"/>
      <c r="H72" s="39"/>
      <c r="I72" s="63"/>
      <c r="J72" s="63">
        <v>22037</v>
      </c>
      <c r="K72" s="39"/>
      <c r="L72" s="39"/>
      <c r="M72" s="39">
        <f t="shared" si="71"/>
        <v>22037</v>
      </c>
      <c r="N72" s="63">
        <v>-22037</v>
      </c>
      <c r="P72" s="39">
        <f>M72+N72+O72</f>
        <v>0</v>
      </c>
      <c r="T72" s="39">
        <f t="shared" si="6"/>
        <v>0</v>
      </c>
      <c r="V72" s="39">
        <f t="shared" si="72"/>
        <v>0</v>
      </c>
    </row>
    <row r="73" spans="1:22" s="51" customFormat="1" x14ac:dyDescent="0.3">
      <c r="A73" s="55"/>
      <c r="B73" s="56"/>
      <c r="C73" s="56"/>
      <c r="D73" s="56"/>
      <c r="E73" s="39"/>
      <c r="H73" s="39"/>
      <c r="I73" s="39"/>
      <c r="J73" s="39"/>
      <c r="K73" s="39"/>
      <c r="L73" s="39"/>
      <c r="M73" s="39">
        <f t="shared" si="44"/>
        <v>0</v>
      </c>
      <c r="P73" s="39">
        <f t="shared" si="17"/>
        <v>0</v>
      </c>
      <c r="T73" s="39">
        <f t="shared" ref="T73:T138" si="73">P73+Q73+R73+S73</f>
        <v>0</v>
      </c>
      <c r="V73" s="39">
        <f t="shared" si="72"/>
        <v>0</v>
      </c>
    </row>
    <row r="74" spans="1:22" s="51" customFormat="1" x14ac:dyDescent="0.3">
      <c r="A74" s="57" t="s">
        <v>13</v>
      </c>
      <c r="B74" s="56"/>
      <c r="C74" s="33"/>
      <c r="D74" s="33"/>
      <c r="E74" s="40">
        <f>E75+E76+E79</f>
        <v>1455723.260892764</v>
      </c>
      <c r="F74" s="40">
        <f>F75+F76+F79</f>
        <v>-22524.41252673087</v>
      </c>
      <c r="G74" s="40">
        <f t="shared" ref="G74" si="74">G75+G76+G79</f>
        <v>400375.963696033</v>
      </c>
      <c r="H74" s="40">
        <f t="shared" si="70"/>
        <v>1833574.812062066</v>
      </c>
      <c r="I74" s="40">
        <f t="shared" ref="I74:L74" si="75">I75+I76+I79+I80</f>
        <v>-252913</v>
      </c>
      <c r="J74" s="40">
        <f t="shared" si="75"/>
        <v>246158.88691619851</v>
      </c>
      <c r="K74" s="40">
        <f>K75+K76+K79+K80</f>
        <v>110833</v>
      </c>
      <c r="L74" s="40">
        <f t="shared" si="75"/>
        <v>0</v>
      </c>
      <c r="M74" s="40">
        <f t="shared" si="44"/>
        <v>1937653.6989782646</v>
      </c>
      <c r="N74" s="40">
        <f>N75+N76+N79+N78+N77</f>
        <v>-2013219.0671609135</v>
      </c>
      <c r="O74" s="40">
        <f>O75+O76+O79+O78+O77</f>
        <v>6118501.0301400786</v>
      </c>
      <c r="P74" s="40">
        <f t="shared" si="17"/>
        <v>6042935.6619574297</v>
      </c>
      <c r="Q74" s="40">
        <f>Q75+Q76+Q79+Q78+Q77</f>
        <v>-74143.696982229681</v>
      </c>
      <c r="R74" s="40">
        <f t="shared" ref="R74" si="76">R75+R76+R79+R78+R77</f>
        <v>0</v>
      </c>
      <c r="S74" s="40">
        <f>S75+S76+S79+S78+S77</f>
        <v>-308555.6295302877</v>
      </c>
      <c r="T74" s="40">
        <f t="shared" si="73"/>
        <v>5660236.3354449123</v>
      </c>
      <c r="U74" s="40">
        <f>U75+U76+U79+U78+U77</f>
        <v>-327340.91534367035</v>
      </c>
      <c r="V74" s="40">
        <f t="shared" si="72"/>
        <v>5332895.4201012421</v>
      </c>
    </row>
    <row r="75" spans="1:22" s="51" customFormat="1" x14ac:dyDescent="0.3">
      <c r="A75" s="55" t="s">
        <v>8</v>
      </c>
      <c r="B75" s="56">
        <v>20</v>
      </c>
      <c r="C75" s="56">
        <v>55</v>
      </c>
      <c r="D75" s="56"/>
      <c r="E75" s="39">
        <v>1047207.341064029</v>
      </c>
      <c r="F75" s="53">
        <v>-20635.8220310754</v>
      </c>
      <c r="G75" s="53">
        <v>400375.963696033</v>
      </c>
      <c r="H75" s="39">
        <f t="shared" si="70"/>
        <v>1426947.4827289865</v>
      </c>
      <c r="I75" s="39"/>
      <c r="J75" s="39">
        <f>15971.8869161985+230187</f>
        <v>246158.88691619851</v>
      </c>
      <c r="K75" s="39"/>
      <c r="L75" s="39"/>
      <c r="M75" s="39">
        <f>H75+I75+J75+K75+L75</f>
        <v>1673106.3696451851</v>
      </c>
      <c r="N75" s="76">
        <v>-108809.28593079001</v>
      </c>
      <c r="P75" s="39">
        <f t="shared" si="17"/>
        <v>1564297.0837143951</v>
      </c>
      <c r="Q75" s="39">
        <v>-74143.696982229681</v>
      </c>
      <c r="R75" s="39"/>
      <c r="S75" s="50">
        <v>-271508.53324913082</v>
      </c>
      <c r="T75" s="39">
        <f t="shared" si="73"/>
        <v>1218644.8534830348</v>
      </c>
      <c r="U75" s="50">
        <v>-333525</v>
      </c>
      <c r="V75" s="39">
        <f t="shared" si="72"/>
        <v>885119.85348303476</v>
      </c>
    </row>
    <row r="76" spans="1:22" s="51" customFormat="1" x14ac:dyDescent="0.3">
      <c r="A76" s="55" t="s">
        <v>9</v>
      </c>
      <c r="B76" s="56">
        <v>20</v>
      </c>
      <c r="C76" s="56">
        <v>55</v>
      </c>
      <c r="D76" s="56" t="s">
        <v>10</v>
      </c>
      <c r="E76" s="39">
        <v>91655.919828735001</v>
      </c>
      <c r="F76" s="39">
        <v>-1888.59049565547</v>
      </c>
      <c r="H76" s="39">
        <f t="shared" si="70"/>
        <v>89767.329333079528</v>
      </c>
      <c r="I76" s="39"/>
      <c r="J76" s="39"/>
      <c r="K76" s="39"/>
      <c r="L76" s="39"/>
      <c r="M76" s="39">
        <f t="shared" si="44"/>
        <v>89767.329333079528</v>
      </c>
      <c r="P76" s="39">
        <f t="shared" si="17"/>
        <v>89767.329333079528</v>
      </c>
      <c r="S76" s="79">
        <v>1468.9037188431457</v>
      </c>
      <c r="T76" s="39">
        <f t="shared" si="73"/>
        <v>91236.233051922667</v>
      </c>
      <c r="U76" s="50">
        <v>6184.0846563296418</v>
      </c>
      <c r="V76" s="39">
        <f t="shared" si="72"/>
        <v>97420.317708252303</v>
      </c>
    </row>
    <row r="77" spans="1:22" x14ac:dyDescent="0.3">
      <c r="A77" s="16" t="s">
        <v>86</v>
      </c>
      <c r="B77" s="14">
        <v>20</v>
      </c>
      <c r="C77" s="14">
        <v>55</v>
      </c>
      <c r="D77" s="14" t="s">
        <v>87</v>
      </c>
      <c r="E77" s="39"/>
      <c r="F77" s="39"/>
      <c r="G77" s="39"/>
      <c r="H77" s="39"/>
      <c r="I77" s="39"/>
      <c r="J77" s="39"/>
      <c r="K77" s="39"/>
      <c r="L77" s="39"/>
      <c r="M77" s="39"/>
      <c r="N77" s="76">
        <v>-1800000.0000100001</v>
      </c>
      <c r="O77" s="76">
        <v>5900000</v>
      </c>
      <c r="P77" s="39">
        <f t="shared" si="17"/>
        <v>4099999.9999899999</v>
      </c>
      <c r="T77" s="39">
        <f t="shared" si="73"/>
        <v>4099999.9999899999</v>
      </c>
      <c r="V77" s="39">
        <f t="shared" si="72"/>
        <v>4099999.9999899999</v>
      </c>
    </row>
    <row r="78" spans="1:22" s="51" customFormat="1" x14ac:dyDescent="0.3">
      <c r="A78" s="16" t="s">
        <v>84</v>
      </c>
      <c r="B78" s="14">
        <v>20</v>
      </c>
      <c r="C78" s="14">
        <v>55</v>
      </c>
      <c r="D78" s="14" t="s">
        <v>85</v>
      </c>
      <c r="E78" s="39"/>
      <c r="F78" s="39"/>
      <c r="H78" s="39"/>
      <c r="I78" s="39"/>
      <c r="J78" s="39"/>
      <c r="K78" s="39"/>
      <c r="L78" s="39"/>
      <c r="M78" s="39"/>
      <c r="N78" s="50">
        <v>-43744.781220123492</v>
      </c>
      <c r="O78" s="50">
        <v>218501.03014007892</v>
      </c>
      <c r="P78" s="39">
        <f t="shared" si="17"/>
        <v>174756.24891995543</v>
      </c>
      <c r="T78" s="39">
        <f t="shared" si="73"/>
        <v>174756.24891995543</v>
      </c>
      <c r="V78" s="39">
        <f t="shared" si="72"/>
        <v>174756.24891995543</v>
      </c>
    </row>
    <row r="79" spans="1:22" s="51" customFormat="1" x14ac:dyDescent="0.3">
      <c r="A79" s="54" t="s">
        <v>41</v>
      </c>
      <c r="B79" s="52">
        <v>20</v>
      </c>
      <c r="C79" s="52">
        <v>55</v>
      </c>
      <c r="D79" s="56"/>
      <c r="E79" s="53">
        <v>316860</v>
      </c>
      <c r="H79" s="39">
        <f t="shared" si="70"/>
        <v>316860</v>
      </c>
      <c r="I79" s="63">
        <f>-284-27900-152020-113896+152020</f>
        <v>-142080</v>
      </c>
      <c r="J79" s="39"/>
      <c r="K79" s="39"/>
      <c r="L79" s="39"/>
      <c r="M79" s="39">
        <f t="shared" si="44"/>
        <v>174780</v>
      </c>
      <c r="N79" s="63">
        <f>-18040+15000-57625</f>
        <v>-60665</v>
      </c>
      <c r="P79" s="39">
        <f t="shared" si="17"/>
        <v>114115</v>
      </c>
      <c r="S79" s="63">
        <f>(-6690)+(-6690)+(-6690)+(-3600)+(-2150)+(-2944)+(-2810)+(-6959)+17</f>
        <v>-38516</v>
      </c>
      <c r="T79" s="39">
        <f t="shared" si="73"/>
        <v>75599</v>
      </c>
      <c r="U79" s="63"/>
      <c r="V79" s="39">
        <f t="shared" si="72"/>
        <v>75599</v>
      </c>
    </row>
    <row r="80" spans="1:22" s="51" customFormat="1" hidden="1" x14ac:dyDescent="0.3">
      <c r="A80" s="54" t="s">
        <v>69</v>
      </c>
      <c r="B80" s="52">
        <v>20</v>
      </c>
      <c r="C80" s="52">
        <v>55</v>
      </c>
      <c r="D80" s="28" t="s">
        <v>66</v>
      </c>
      <c r="E80" s="53"/>
      <c r="H80" s="39"/>
      <c r="I80" s="65">
        <v>-110833</v>
      </c>
      <c r="J80" s="39"/>
      <c r="K80" s="39">
        <v>110833</v>
      </c>
      <c r="L80" s="39"/>
      <c r="M80" s="39">
        <f t="shared" si="44"/>
        <v>0</v>
      </c>
      <c r="P80" s="39">
        <f t="shared" si="17"/>
        <v>0</v>
      </c>
      <c r="T80" s="39">
        <f t="shared" si="73"/>
        <v>0</v>
      </c>
      <c r="V80" s="39">
        <f t="shared" si="72"/>
        <v>0</v>
      </c>
    </row>
    <row r="81" spans="1:22" x14ac:dyDescent="0.3">
      <c r="A81" s="16"/>
      <c r="B81" s="14"/>
      <c r="C81" s="14"/>
      <c r="D81" s="14"/>
      <c r="E81" s="39"/>
      <c r="H81" s="39"/>
      <c r="I81" s="39"/>
      <c r="J81" s="39"/>
      <c r="K81" s="39"/>
      <c r="L81" s="39"/>
      <c r="M81" s="39">
        <f t="shared" si="44"/>
        <v>0</v>
      </c>
      <c r="P81" s="39">
        <f t="shared" si="17"/>
        <v>0</v>
      </c>
      <c r="T81" s="39">
        <f t="shared" si="73"/>
        <v>0</v>
      </c>
      <c r="V81" s="39">
        <f t="shared" si="72"/>
        <v>0</v>
      </c>
    </row>
    <row r="82" spans="1:22" x14ac:dyDescent="0.3">
      <c r="A82" s="15" t="s">
        <v>12</v>
      </c>
      <c r="B82" s="14">
        <v>60</v>
      </c>
      <c r="C82" s="33">
        <v>610</v>
      </c>
      <c r="D82" s="34"/>
      <c r="E82" s="40">
        <v>82.663092965526104</v>
      </c>
      <c r="F82" s="40"/>
      <c r="G82" s="40"/>
      <c r="H82" s="40">
        <f t="shared" si="70"/>
        <v>82.663092965526104</v>
      </c>
      <c r="I82" s="40"/>
      <c r="J82" s="40"/>
      <c r="K82" s="40"/>
      <c r="L82" s="40"/>
      <c r="M82" s="40">
        <f t="shared" si="44"/>
        <v>82.663092965526104</v>
      </c>
      <c r="P82" s="40">
        <f t="shared" si="17"/>
        <v>82.663092965526104</v>
      </c>
      <c r="T82" s="40">
        <f t="shared" si="73"/>
        <v>82.663092965526104</v>
      </c>
      <c r="V82" s="40">
        <f t="shared" si="72"/>
        <v>82.663092965526104</v>
      </c>
    </row>
    <row r="83" spans="1:22" x14ac:dyDescent="0.3">
      <c r="A83" s="12"/>
      <c r="B83" s="14"/>
      <c r="C83" s="33"/>
      <c r="D83" s="34"/>
      <c r="E83" s="39"/>
      <c r="H83" s="39"/>
      <c r="I83" s="39"/>
      <c r="J83" s="39"/>
      <c r="K83" s="39"/>
      <c r="L83" s="39"/>
      <c r="M83" s="39">
        <f t="shared" si="44"/>
        <v>0</v>
      </c>
      <c r="P83" s="39">
        <f t="shared" ref="P83:P159" si="77">M83+N83+O83</f>
        <v>0</v>
      </c>
      <c r="T83" s="39">
        <f t="shared" si="73"/>
        <v>0</v>
      </c>
      <c r="V83" s="39">
        <f t="shared" si="72"/>
        <v>0</v>
      </c>
    </row>
    <row r="84" spans="1:22" ht="15.5" x14ac:dyDescent="0.35">
      <c r="A84" s="8" t="s">
        <v>3</v>
      </c>
      <c r="B84" s="35"/>
      <c r="C84" s="41"/>
      <c r="D84" s="32"/>
      <c r="E84" s="37">
        <f>E85+E89+E95</f>
        <v>989464.72804223956</v>
      </c>
      <c r="F84" s="37">
        <f t="shared" ref="F84:L84" si="78">F85+F89+F95</f>
        <v>-1813.3005648230974</v>
      </c>
      <c r="G84" s="37">
        <f t="shared" si="78"/>
        <v>175141.845458767</v>
      </c>
      <c r="H84" s="37">
        <f t="shared" si="70"/>
        <v>1162793.2729361835</v>
      </c>
      <c r="I84" s="37">
        <f t="shared" si="78"/>
        <v>-36509.917420099249</v>
      </c>
      <c r="J84" s="37">
        <f t="shared" si="78"/>
        <v>6986.7974194512417</v>
      </c>
      <c r="K84" s="37">
        <f t="shared" si="78"/>
        <v>14500</v>
      </c>
      <c r="L84" s="37">
        <f t="shared" si="78"/>
        <v>0</v>
      </c>
      <c r="M84" s="37">
        <f t="shared" si="44"/>
        <v>1147770.1529355354</v>
      </c>
      <c r="N84" s="37">
        <f>N85+N89+N95</f>
        <v>-56333.982557929645</v>
      </c>
      <c r="O84" s="37">
        <f>O85+O89+O95</f>
        <v>95581.845873317317</v>
      </c>
      <c r="P84" s="37">
        <f t="shared" si="77"/>
        <v>1187018.016250923</v>
      </c>
      <c r="Q84" s="37">
        <f>Q85+Q89+Q95</f>
        <v>-32034.526266198816</v>
      </c>
      <c r="R84" s="37">
        <f t="shared" ref="R84:S84" si="79">R85+R89+R95</f>
        <v>-2141.0342678297575</v>
      </c>
      <c r="S84" s="37">
        <f t="shared" si="79"/>
        <v>-117597.73593348677</v>
      </c>
      <c r="T84" s="37">
        <f t="shared" si="73"/>
        <v>1035244.7197834078</v>
      </c>
      <c r="U84" s="37">
        <f t="shared" ref="U84" si="80">U85+U89+U95</f>
        <v>-192103.5</v>
      </c>
      <c r="V84" s="37">
        <f t="shared" si="72"/>
        <v>843141.21978340775</v>
      </c>
    </row>
    <row r="85" spans="1:22" x14ac:dyDescent="0.3">
      <c r="A85" s="15" t="s">
        <v>4</v>
      </c>
      <c r="B85" s="14"/>
      <c r="C85" s="33"/>
      <c r="D85" s="33"/>
      <c r="E85" s="38">
        <f>E86</f>
        <v>485501.88710678602</v>
      </c>
      <c r="F85" s="38">
        <f t="shared" ref="F85:L85" si="81">F86</f>
        <v>8158</v>
      </c>
      <c r="G85" s="38">
        <f t="shared" si="81"/>
        <v>0</v>
      </c>
      <c r="H85" s="38">
        <f t="shared" si="70"/>
        <v>493659.88710678602</v>
      </c>
      <c r="I85" s="38">
        <f t="shared" si="81"/>
        <v>-22009.917420099249</v>
      </c>
      <c r="J85" s="38">
        <f t="shared" si="81"/>
        <v>0</v>
      </c>
      <c r="K85" s="38">
        <f t="shared" si="81"/>
        <v>0</v>
      </c>
      <c r="L85" s="38">
        <f t="shared" si="81"/>
        <v>0</v>
      </c>
      <c r="M85" s="38">
        <f>H85+I85+J85+K85+L85</f>
        <v>471649.96968668676</v>
      </c>
      <c r="N85" s="38">
        <f>N86+N87</f>
        <v>10399.795879720372</v>
      </c>
      <c r="O85" s="38">
        <f>O86+O87</f>
        <v>0</v>
      </c>
      <c r="P85" s="38">
        <f t="shared" si="77"/>
        <v>482049.76556640712</v>
      </c>
      <c r="Q85" s="38">
        <f>Q86+Q87</f>
        <v>399.14881940670369</v>
      </c>
      <c r="R85" s="38">
        <f t="shared" ref="R85:S85" si="82">R86+R87</f>
        <v>-2141.0342678297575</v>
      </c>
      <c r="S85" s="38">
        <f t="shared" si="82"/>
        <v>0</v>
      </c>
      <c r="T85" s="38">
        <f t="shared" si="73"/>
        <v>480307.88011798408</v>
      </c>
      <c r="U85" s="38">
        <f t="shared" ref="U85" si="83">U86+U87</f>
        <v>0</v>
      </c>
      <c r="V85" s="38">
        <f t="shared" si="72"/>
        <v>480307.88011798408</v>
      </c>
    </row>
    <row r="86" spans="1:22" x14ac:dyDescent="0.3">
      <c r="A86" s="16" t="s">
        <v>5</v>
      </c>
      <c r="B86" s="14">
        <v>20</v>
      </c>
      <c r="C86" s="14">
        <v>50</v>
      </c>
      <c r="D86" s="14"/>
      <c r="E86" s="39">
        <f>485391.887106786+110</f>
        <v>485501.88710678602</v>
      </c>
      <c r="F86" s="39">
        <v>8158</v>
      </c>
      <c r="H86" s="39">
        <f t="shared" si="70"/>
        <v>493659.88710678602</v>
      </c>
      <c r="I86" s="39">
        <v>-22009.917420099249</v>
      </c>
      <c r="J86" s="39"/>
      <c r="K86" s="39"/>
      <c r="L86" s="39"/>
      <c r="M86" s="39">
        <f>H86+I86+J86+K86+L86</f>
        <v>471649.96968668676</v>
      </c>
      <c r="N86" s="50">
        <v>2453.4347432865397</v>
      </c>
      <c r="P86" s="39">
        <f t="shared" si="77"/>
        <v>474103.40442997328</v>
      </c>
      <c r="Q86" s="39">
        <v>399.14881940670369</v>
      </c>
      <c r="R86" s="39">
        <v>-2141.0342678297575</v>
      </c>
      <c r="T86" s="39">
        <f t="shared" si="73"/>
        <v>472361.51898155024</v>
      </c>
      <c r="V86" s="39">
        <f t="shared" si="72"/>
        <v>472361.51898155024</v>
      </c>
    </row>
    <row r="87" spans="1:22" x14ac:dyDescent="0.3">
      <c r="A87" s="16" t="s">
        <v>83</v>
      </c>
      <c r="B87" s="14">
        <v>10</v>
      </c>
      <c r="C87" s="14">
        <v>50</v>
      </c>
      <c r="D87" s="14" t="s">
        <v>36</v>
      </c>
      <c r="E87" s="39"/>
      <c r="F87" s="39"/>
      <c r="H87" s="39"/>
      <c r="I87" s="39"/>
      <c r="J87" s="39"/>
      <c r="K87" s="39"/>
      <c r="L87" s="39"/>
      <c r="M87" s="39"/>
      <c r="N87" s="50">
        <v>7946.3611364338312</v>
      </c>
      <c r="P87" s="39">
        <f t="shared" si="77"/>
        <v>7946.3611364338312</v>
      </c>
      <c r="T87" s="39">
        <f t="shared" si="73"/>
        <v>7946.3611364338312</v>
      </c>
      <c r="V87" s="39">
        <f t="shared" si="72"/>
        <v>7946.3611364338312</v>
      </c>
    </row>
    <row r="88" spans="1:22" x14ac:dyDescent="0.3">
      <c r="A88" s="16"/>
      <c r="B88" s="14"/>
      <c r="C88" s="14"/>
      <c r="D88" s="14"/>
      <c r="E88" s="39"/>
      <c r="H88" s="39"/>
      <c r="I88" s="39"/>
      <c r="J88" s="39"/>
      <c r="K88" s="39"/>
      <c r="L88" s="39"/>
      <c r="M88" s="39">
        <f t="shared" si="44"/>
        <v>0</v>
      </c>
      <c r="P88" s="39">
        <f t="shared" si="77"/>
        <v>0</v>
      </c>
      <c r="T88" s="39">
        <f t="shared" si="73"/>
        <v>0</v>
      </c>
      <c r="V88" s="39">
        <f t="shared" si="72"/>
        <v>0</v>
      </c>
    </row>
    <row r="89" spans="1:22" x14ac:dyDescent="0.3">
      <c r="A89" s="19" t="s">
        <v>13</v>
      </c>
      <c r="B89" s="14"/>
      <c r="C89" s="33"/>
      <c r="D89" s="33"/>
      <c r="E89" s="40">
        <f>E90+E91</f>
        <v>503921.8409354536</v>
      </c>
      <c r="F89" s="40">
        <f t="shared" ref="F89:G89" si="84">F90+F91</f>
        <v>-9971.3005648230974</v>
      </c>
      <c r="G89" s="40">
        <f t="shared" si="84"/>
        <v>175141.845458767</v>
      </c>
      <c r="H89" s="40">
        <f t="shared" si="70"/>
        <v>669092.38582939748</v>
      </c>
      <c r="I89" s="40">
        <f>I90+I91+I92</f>
        <v>-14500</v>
      </c>
      <c r="J89" s="40">
        <f t="shared" ref="J89:L89" si="85">J90+J91+J92</f>
        <v>6986.7974194512417</v>
      </c>
      <c r="K89" s="40">
        <f t="shared" si="85"/>
        <v>14500</v>
      </c>
      <c r="L89" s="40">
        <f t="shared" si="85"/>
        <v>0</v>
      </c>
      <c r="M89" s="40">
        <f t="shared" si="44"/>
        <v>676079.18324884877</v>
      </c>
      <c r="N89" s="40">
        <f>N90+N91+N92+N93</f>
        <v>-66733.77843765002</v>
      </c>
      <c r="O89" s="40">
        <f>O90+O91+O92+O93</f>
        <v>95581.845873317317</v>
      </c>
      <c r="P89" s="40">
        <f t="shared" si="77"/>
        <v>704927.25068451604</v>
      </c>
      <c r="Q89" s="40">
        <f>Q90+Q91+Q92+Q93</f>
        <v>-32433.675085605519</v>
      </c>
      <c r="R89" s="40">
        <f t="shared" ref="R89:S89" si="86">R90+R91+R92+R93</f>
        <v>0</v>
      </c>
      <c r="S89" s="40">
        <f t="shared" si="86"/>
        <v>-117597.73593348677</v>
      </c>
      <c r="T89" s="40">
        <f t="shared" si="73"/>
        <v>554895.83966542385</v>
      </c>
      <c r="U89" s="40">
        <f t="shared" ref="U89" si="87">U90+U91+U92+U93</f>
        <v>-192103.5</v>
      </c>
      <c r="V89" s="40">
        <f t="shared" si="72"/>
        <v>362792.33966542385</v>
      </c>
    </row>
    <row r="90" spans="1:22" x14ac:dyDescent="0.3">
      <c r="A90" s="16" t="s">
        <v>8</v>
      </c>
      <c r="B90" s="14">
        <v>20</v>
      </c>
      <c r="C90" s="14">
        <v>55</v>
      </c>
      <c r="D90" s="14"/>
      <c r="E90" s="39">
        <v>458093.6310210863</v>
      </c>
      <c r="F90" s="39">
        <v>-9027.0053169953608</v>
      </c>
      <c r="G90" s="39">
        <v>175141.845458767</v>
      </c>
      <c r="H90" s="39">
        <f t="shared" si="70"/>
        <v>624208.47116285795</v>
      </c>
      <c r="I90" s="39"/>
      <c r="J90" s="39">
        <v>6986.7974194512417</v>
      </c>
      <c r="K90" s="39"/>
      <c r="L90" s="39"/>
      <c r="M90" s="39">
        <f t="shared" si="44"/>
        <v>631195.26858230925</v>
      </c>
      <c r="N90" s="76">
        <v>-47597.910136876802</v>
      </c>
      <c r="P90" s="39">
        <f t="shared" si="77"/>
        <v>583597.3584454325</v>
      </c>
      <c r="Q90" s="39">
        <v>-32433.675085605519</v>
      </c>
      <c r="R90" s="39"/>
      <c r="S90" s="50">
        <v>-118332.18779290834</v>
      </c>
      <c r="T90" s="39">
        <f t="shared" si="73"/>
        <v>432831.49556691869</v>
      </c>
      <c r="U90" s="50">
        <v>-195195.5</v>
      </c>
      <c r="V90" s="39">
        <f t="shared" si="72"/>
        <v>237635.99556691869</v>
      </c>
    </row>
    <row r="91" spans="1:22" x14ac:dyDescent="0.3">
      <c r="A91" s="16" t="s">
        <v>9</v>
      </c>
      <c r="B91" s="14">
        <v>20</v>
      </c>
      <c r="C91" s="14">
        <v>55</v>
      </c>
      <c r="D91" s="14" t="s">
        <v>10</v>
      </c>
      <c r="E91" s="39">
        <v>45828.209914367297</v>
      </c>
      <c r="F91" s="39">
        <v>-944.29524782773603</v>
      </c>
      <c r="H91" s="39">
        <f t="shared" si="70"/>
        <v>44883.91466653956</v>
      </c>
      <c r="I91" s="39"/>
      <c r="J91" s="39"/>
      <c r="K91" s="39"/>
      <c r="L91" s="39"/>
      <c r="M91" s="39">
        <f t="shared" si="44"/>
        <v>44883.91466653956</v>
      </c>
      <c r="P91" s="39">
        <f t="shared" si="77"/>
        <v>44883.91466653956</v>
      </c>
      <c r="S91" s="79">
        <v>734.45185942157286</v>
      </c>
      <c r="T91" s="39">
        <f t="shared" si="73"/>
        <v>45618.36652596113</v>
      </c>
      <c r="U91" s="50">
        <v>3092</v>
      </c>
      <c r="V91" s="39">
        <f t="shared" si="72"/>
        <v>48710.36652596113</v>
      </c>
    </row>
    <row r="92" spans="1:22" x14ac:dyDescent="0.3">
      <c r="A92" s="16" t="s">
        <v>8</v>
      </c>
      <c r="B92" s="14">
        <v>20</v>
      </c>
      <c r="C92" s="14">
        <v>55</v>
      </c>
      <c r="D92" s="14" t="s">
        <v>66</v>
      </c>
      <c r="E92" s="39"/>
      <c r="F92" s="39"/>
      <c r="H92" s="39"/>
      <c r="I92" s="39">
        <v>-14500</v>
      </c>
      <c r="J92" s="39"/>
      <c r="K92" s="39">
        <v>14500</v>
      </c>
      <c r="L92" s="39"/>
      <c r="M92" s="39"/>
      <c r="P92" s="39">
        <f t="shared" si="77"/>
        <v>0</v>
      </c>
      <c r="T92" s="39">
        <f t="shared" si="73"/>
        <v>0</v>
      </c>
      <c r="V92" s="39">
        <f t="shared" si="72"/>
        <v>0</v>
      </c>
    </row>
    <row r="93" spans="1:22" x14ac:dyDescent="0.3">
      <c r="A93" s="16" t="s">
        <v>84</v>
      </c>
      <c r="B93" s="14">
        <v>20</v>
      </c>
      <c r="C93" s="14">
        <v>55</v>
      </c>
      <c r="D93" s="14" t="s">
        <v>85</v>
      </c>
      <c r="E93" s="39"/>
      <c r="F93" s="39"/>
      <c r="H93" s="39"/>
      <c r="I93" s="39"/>
      <c r="J93" s="39"/>
      <c r="K93" s="39"/>
      <c r="L93" s="39"/>
      <c r="M93" s="39"/>
      <c r="N93" s="50">
        <v>-19135.868300773218</v>
      </c>
      <c r="O93" s="50">
        <v>95581.845873317317</v>
      </c>
      <c r="P93" s="39">
        <f t="shared" si="77"/>
        <v>76445.9775725441</v>
      </c>
      <c r="T93" s="39">
        <f t="shared" si="73"/>
        <v>76445.9775725441</v>
      </c>
      <c r="V93" s="39">
        <f t="shared" si="72"/>
        <v>76445.9775725441</v>
      </c>
    </row>
    <row r="94" spans="1:22" x14ac:dyDescent="0.3">
      <c r="A94" s="16"/>
      <c r="B94" s="14"/>
      <c r="C94" s="14"/>
      <c r="D94" s="14"/>
      <c r="E94" s="39"/>
      <c r="H94" s="39"/>
      <c r="I94" s="39"/>
      <c r="J94" s="39"/>
      <c r="K94" s="39"/>
      <c r="L94" s="39"/>
      <c r="M94" s="39">
        <f t="shared" si="44"/>
        <v>0</v>
      </c>
      <c r="P94" s="39">
        <f t="shared" si="77"/>
        <v>0</v>
      </c>
      <c r="T94" s="39">
        <f t="shared" si="73"/>
        <v>0</v>
      </c>
      <c r="V94" s="39">
        <f t="shared" si="72"/>
        <v>0</v>
      </c>
    </row>
    <row r="95" spans="1:22" x14ac:dyDescent="0.3">
      <c r="A95" s="15" t="s">
        <v>12</v>
      </c>
      <c r="B95" s="14">
        <v>60</v>
      </c>
      <c r="C95" s="33">
        <v>610</v>
      </c>
      <c r="D95" s="34"/>
      <c r="E95" s="40">
        <v>41</v>
      </c>
      <c r="F95" s="40"/>
      <c r="G95" s="40"/>
      <c r="H95" s="40">
        <f t="shared" si="70"/>
        <v>41</v>
      </c>
      <c r="I95" s="40"/>
      <c r="J95" s="40"/>
      <c r="K95" s="40"/>
      <c r="L95" s="40"/>
      <c r="M95" s="40">
        <f t="shared" si="44"/>
        <v>41</v>
      </c>
      <c r="P95" s="40">
        <f t="shared" si="77"/>
        <v>41</v>
      </c>
      <c r="T95" s="40">
        <f t="shared" si="73"/>
        <v>41</v>
      </c>
      <c r="V95" s="40">
        <f t="shared" si="72"/>
        <v>41</v>
      </c>
    </row>
    <row r="96" spans="1:22" x14ac:dyDescent="0.3">
      <c r="A96" s="12"/>
      <c r="B96" s="14"/>
      <c r="C96" s="33"/>
      <c r="D96" s="34"/>
      <c r="E96" s="40"/>
      <c r="H96" s="39"/>
      <c r="I96" s="39"/>
      <c r="J96" s="39"/>
      <c r="K96" s="39"/>
      <c r="L96" s="39"/>
      <c r="M96" s="39">
        <f t="shared" si="44"/>
        <v>0</v>
      </c>
      <c r="P96" s="39">
        <f t="shared" si="77"/>
        <v>0</v>
      </c>
      <c r="T96" s="39">
        <f t="shared" si="73"/>
        <v>0</v>
      </c>
      <c r="V96" s="39">
        <f t="shared" si="72"/>
        <v>0</v>
      </c>
    </row>
    <row r="97" spans="1:22" ht="15.5" x14ac:dyDescent="0.35">
      <c r="A97" s="8" t="s">
        <v>20</v>
      </c>
      <c r="B97" s="35"/>
      <c r="C97" s="41"/>
      <c r="D97" s="32"/>
      <c r="E97" s="37">
        <f>E98+E103+E108+E113+E118</f>
        <v>4660302.8367794706</v>
      </c>
      <c r="F97" s="37">
        <f>F98+F103+F108+F113+F118</f>
        <v>35241.143809858768</v>
      </c>
      <c r="G97" s="37">
        <f>G98+G103+G108+G113+G118</f>
        <v>448060.98363942798</v>
      </c>
      <c r="H97" s="37">
        <f t="shared" si="70"/>
        <v>5143604.9642287577</v>
      </c>
      <c r="I97" s="37">
        <f>I98+I103+I108+I113+I118</f>
        <v>-55164.119130406252</v>
      </c>
      <c r="J97" s="37">
        <f t="shared" ref="J97:L97" si="88">J98+J103+J108+J113+J118</f>
        <v>17874.14832845152</v>
      </c>
      <c r="K97" s="37">
        <f t="shared" si="88"/>
        <v>0</v>
      </c>
      <c r="L97" s="37">
        <f t="shared" si="88"/>
        <v>0</v>
      </c>
      <c r="M97" s="37">
        <f t="shared" si="44"/>
        <v>5106314.9934268026</v>
      </c>
      <c r="N97" s="37">
        <f>N98+N103+N108+N113+N118</f>
        <v>-144658.02729975191</v>
      </c>
      <c r="O97" s="37">
        <f>O98+O103+O108+O113+O118</f>
        <v>244524.63526286889</v>
      </c>
      <c r="P97" s="37">
        <f t="shared" si="77"/>
        <v>5206181.6013899203</v>
      </c>
      <c r="Q97" s="37">
        <f>Q98+Q103+Q108+Q113+Q118</f>
        <v>-81973.857519809302</v>
      </c>
      <c r="R97" s="37">
        <f t="shared" ref="R97:S97" si="89">R98+R103+R108+R113+R118</f>
        <v>-5366.1386891432685</v>
      </c>
      <c r="S97" s="37">
        <f t="shared" si="89"/>
        <v>-301991.81164325651</v>
      </c>
      <c r="T97" s="37">
        <f t="shared" si="73"/>
        <v>4816849.7935377108</v>
      </c>
      <c r="U97" s="37">
        <f t="shared" ref="U97" si="90">U98+U103+U108+U113+U118</f>
        <v>-232119.77768183517</v>
      </c>
      <c r="V97" s="37">
        <f t="shared" si="72"/>
        <v>4584730.0158558758</v>
      </c>
    </row>
    <row r="98" spans="1:22" x14ac:dyDescent="0.3">
      <c r="A98" s="15" t="s">
        <v>6</v>
      </c>
      <c r="B98" s="14"/>
      <c r="C98" s="33"/>
      <c r="D98" s="33"/>
      <c r="E98" s="38">
        <f>E99</f>
        <v>155000</v>
      </c>
      <c r="F98" s="38">
        <f t="shared" ref="F98:L98" si="91">F99</f>
        <v>38832</v>
      </c>
      <c r="G98" s="38">
        <f t="shared" si="91"/>
        <v>0</v>
      </c>
      <c r="H98" s="38">
        <f t="shared" si="70"/>
        <v>193832</v>
      </c>
      <c r="I98" s="38">
        <f t="shared" si="91"/>
        <v>0</v>
      </c>
      <c r="J98" s="38">
        <f t="shared" si="91"/>
        <v>0</v>
      </c>
      <c r="K98" s="38">
        <f t="shared" si="91"/>
        <v>0</v>
      </c>
      <c r="L98" s="38">
        <f t="shared" si="91"/>
        <v>0</v>
      </c>
      <c r="M98" s="38">
        <f t="shared" si="44"/>
        <v>193832</v>
      </c>
      <c r="N98" s="38">
        <f>N99+N100</f>
        <v>11361</v>
      </c>
      <c r="O98" s="38">
        <f>O99+O100</f>
        <v>0</v>
      </c>
      <c r="P98" s="38">
        <f t="shared" si="77"/>
        <v>205193</v>
      </c>
      <c r="Q98" s="38">
        <f>Q99+Q100</f>
        <v>0</v>
      </c>
      <c r="R98" s="38">
        <f t="shared" ref="R98:S98" si="92">R99+R100</f>
        <v>0</v>
      </c>
      <c r="S98" s="38">
        <f t="shared" si="92"/>
        <v>0</v>
      </c>
      <c r="T98" s="38">
        <f t="shared" si="73"/>
        <v>205193</v>
      </c>
      <c r="U98" s="38">
        <f>U99+U100+U101</f>
        <v>210.99999000000025</v>
      </c>
      <c r="V98" s="38">
        <f t="shared" si="72"/>
        <v>205403.99999000001</v>
      </c>
    </row>
    <row r="99" spans="1:22" x14ac:dyDescent="0.3">
      <c r="A99" s="16" t="s">
        <v>26</v>
      </c>
      <c r="B99" s="14">
        <v>20</v>
      </c>
      <c r="C99" s="14">
        <v>45</v>
      </c>
      <c r="D99" s="14" t="s">
        <v>7</v>
      </c>
      <c r="E99" s="39">
        <v>155000</v>
      </c>
      <c r="F99" s="39">
        <v>38832</v>
      </c>
      <c r="H99" s="39">
        <f t="shared" si="70"/>
        <v>193832</v>
      </c>
      <c r="I99" s="39"/>
      <c r="J99" s="39"/>
      <c r="K99" s="39"/>
      <c r="L99" s="39"/>
      <c r="M99" s="39">
        <f t="shared" si="44"/>
        <v>193832</v>
      </c>
      <c r="P99" s="39">
        <f t="shared" si="77"/>
        <v>193832</v>
      </c>
      <c r="T99" s="39">
        <f t="shared" si="73"/>
        <v>193832</v>
      </c>
      <c r="V99" s="39">
        <f t="shared" si="72"/>
        <v>193832</v>
      </c>
    </row>
    <row r="100" spans="1:22" x14ac:dyDescent="0.3">
      <c r="A100" s="16" t="s">
        <v>6</v>
      </c>
      <c r="B100" s="14">
        <v>20</v>
      </c>
      <c r="C100" s="14">
        <v>45</v>
      </c>
      <c r="D100" s="14"/>
      <c r="E100" s="39"/>
      <c r="F100" s="39"/>
      <c r="H100" s="39"/>
      <c r="I100" s="39"/>
      <c r="J100" s="39"/>
      <c r="K100" s="39"/>
      <c r="L100" s="39"/>
      <c r="M100" s="39"/>
      <c r="N100" s="39">
        <v>11361</v>
      </c>
      <c r="P100" s="39">
        <f t="shared" si="77"/>
        <v>11361</v>
      </c>
      <c r="T100" s="39">
        <f t="shared" si="73"/>
        <v>11361</v>
      </c>
      <c r="U100" s="50">
        <v>-10989.00001</v>
      </c>
      <c r="V100" s="39">
        <f t="shared" si="72"/>
        <v>371.99999000000025</v>
      </c>
    </row>
    <row r="101" spans="1:22" x14ac:dyDescent="0.3">
      <c r="A101" s="16" t="s">
        <v>92</v>
      </c>
      <c r="B101" s="14">
        <v>20</v>
      </c>
      <c r="C101" s="14">
        <v>41</v>
      </c>
      <c r="D101" s="14"/>
      <c r="E101" s="39"/>
      <c r="F101" s="39"/>
      <c r="H101" s="39"/>
      <c r="I101" s="39"/>
      <c r="J101" s="39"/>
      <c r="K101" s="39"/>
      <c r="L101" s="39"/>
      <c r="M101" s="39"/>
      <c r="N101" s="39"/>
      <c r="P101" s="39"/>
      <c r="T101" s="39"/>
      <c r="U101" s="50">
        <v>11200</v>
      </c>
      <c r="V101" s="39">
        <f t="shared" si="72"/>
        <v>11200</v>
      </c>
    </row>
    <row r="102" spans="1:22" ht="15.5" x14ac:dyDescent="0.35">
      <c r="A102" s="8"/>
      <c r="B102" s="35"/>
      <c r="C102" s="41"/>
      <c r="D102" s="32"/>
      <c r="E102" s="37"/>
      <c r="H102" s="39"/>
      <c r="I102" s="39"/>
      <c r="J102" s="39"/>
      <c r="K102" s="39"/>
      <c r="L102" s="39"/>
      <c r="M102" s="39">
        <f t="shared" si="44"/>
        <v>0</v>
      </c>
      <c r="P102" s="39">
        <f t="shared" si="77"/>
        <v>0</v>
      </c>
      <c r="T102" s="39">
        <f t="shared" si="73"/>
        <v>0</v>
      </c>
      <c r="V102" s="39">
        <f t="shared" si="72"/>
        <v>0</v>
      </c>
    </row>
    <row r="103" spans="1:22" x14ac:dyDescent="0.3">
      <c r="A103" s="15" t="s">
        <v>4</v>
      </c>
      <c r="B103" s="14"/>
      <c r="C103" s="33"/>
      <c r="D103" s="33"/>
      <c r="E103" s="38">
        <f>E104</f>
        <v>1216827.2972770201</v>
      </c>
      <c r="F103" s="38">
        <f t="shared" ref="F103:L103" si="93">F104</f>
        <v>20447</v>
      </c>
      <c r="G103" s="38">
        <f t="shared" si="93"/>
        <v>0</v>
      </c>
      <c r="H103" s="38">
        <f t="shared" si="70"/>
        <v>1237274.2972770201</v>
      </c>
      <c r="I103" s="38">
        <f t="shared" si="93"/>
        <v>-55164.119130406252</v>
      </c>
      <c r="J103" s="38">
        <f t="shared" si="93"/>
        <v>0</v>
      </c>
      <c r="K103" s="38">
        <f t="shared" si="93"/>
        <v>0</v>
      </c>
      <c r="L103" s="38">
        <f t="shared" si="93"/>
        <v>0</v>
      </c>
      <c r="M103" s="38">
        <f t="shared" si="44"/>
        <v>1182110.1781466138</v>
      </c>
      <c r="N103" s="38">
        <f>N104+N105</f>
        <v>26065.321731598589</v>
      </c>
      <c r="O103" s="38">
        <f>O104+O105</f>
        <v>0</v>
      </c>
      <c r="P103" s="38">
        <f t="shared" si="77"/>
        <v>1208175.4998782123</v>
      </c>
      <c r="Q103" s="38">
        <f>Q104+Q105</f>
        <v>1000.3987113738631</v>
      </c>
      <c r="R103" s="38">
        <f t="shared" ref="R103:S103" si="94">R104+R105</f>
        <v>-5366.1386891432685</v>
      </c>
      <c r="S103" s="38">
        <f t="shared" si="94"/>
        <v>0</v>
      </c>
      <c r="T103" s="38">
        <f t="shared" si="73"/>
        <v>1203809.7599004428</v>
      </c>
      <c r="U103" s="38">
        <f>U104+U105+U106</f>
        <v>12966.08</v>
      </c>
      <c r="V103" s="38">
        <f t="shared" si="72"/>
        <v>1216775.8399004429</v>
      </c>
    </row>
    <row r="104" spans="1:22" x14ac:dyDescent="0.3">
      <c r="A104" s="16" t="s">
        <v>5</v>
      </c>
      <c r="B104" s="14">
        <v>20</v>
      </c>
      <c r="C104" s="14">
        <v>50</v>
      </c>
      <c r="D104" s="14"/>
      <c r="E104" s="39">
        <f>1216552.29727702+275</f>
        <v>1216827.2972770201</v>
      </c>
      <c r="F104" s="39">
        <v>20447</v>
      </c>
      <c r="H104" s="39">
        <f t="shared" si="70"/>
        <v>1237274.2972770201</v>
      </c>
      <c r="I104" s="39">
        <v>-55164.119130406252</v>
      </c>
      <c r="J104" s="39"/>
      <c r="K104" s="39"/>
      <c r="L104" s="39"/>
      <c r="M104" s="39">
        <f t="shared" si="44"/>
        <v>1182110.1781466138</v>
      </c>
      <c r="N104" s="50">
        <v>6149.1174125780144</v>
      </c>
      <c r="P104" s="39">
        <f t="shared" si="77"/>
        <v>1188259.2955591918</v>
      </c>
      <c r="Q104" s="39">
        <v>1000.3987113738631</v>
      </c>
      <c r="R104" s="39">
        <v>-5366.1386891432685</v>
      </c>
      <c r="T104" s="39">
        <f t="shared" si="73"/>
        <v>1183893.5555814223</v>
      </c>
      <c r="V104" s="39">
        <f t="shared" si="72"/>
        <v>1183893.5555814223</v>
      </c>
    </row>
    <row r="105" spans="1:22" x14ac:dyDescent="0.3">
      <c r="A105" s="16" t="s">
        <v>83</v>
      </c>
      <c r="B105" s="14">
        <v>10</v>
      </c>
      <c r="C105" s="14">
        <v>50</v>
      </c>
      <c r="D105" s="14" t="s">
        <v>36</v>
      </c>
      <c r="E105" s="39"/>
      <c r="F105" s="39"/>
      <c r="H105" s="39"/>
      <c r="I105" s="39"/>
      <c r="J105" s="39"/>
      <c r="K105" s="39"/>
      <c r="L105" s="39"/>
      <c r="M105" s="39"/>
      <c r="N105" s="50">
        <v>19916.204319020577</v>
      </c>
      <c r="P105" s="39">
        <f t="shared" si="77"/>
        <v>19916.204319020577</v>
      </c>
      <c r="T105" s="39">
        <f t="shared" si="73"/>
        <v>19916.204319020577</v>
      </c>
      <c r="V105" s="39">
        <f t="shared" si="72"/>
        <v>19916.204319020577</v>
      </c>
    </row>
    <row r="106" spans="1:22" x14ac:dyDescent="0.3">
      <c r="A106" s="16" t="s">
        <v>83</v>
      </c>
      <c r="B106" s="14">
        <v>10</v>
      </c>
      <c r="C106" s="14">
        <v>50</v>
      </c>
      <c r="D106" s="14" t="s">
        <v>93</v>
      </c>
      <c r="E106" s="39"/>
      <c r="F106" s="39"/>
      <c r="H106" s="39"/>
      <c r="I106" s="39"/>
      <c r="J106" s="39"/>
      <c r="K106" s="39"/>
      <c r="L106" s="39"/>
      <c r="M106" s="39"/>
      <c r="N106" s="50"/>
      <c r="P106" s="39"/>
      <c r="T106" s="39"/>
      <c r="U106" s="50">
        <v>12966.08</v>
      </c>
      <c r="V106" s="39">
        <f t="shared" si="72"/>
        <v>12966.08</v>
      </c>
    </row>
    <row r="107" spans="1:22" x14ac:dyDescent="0.3">
      <c r="A107" s="16"/>
      <c r="B107" s="14"/>
      <c r="C107" s="14"/>
      <c r="D107" s="14"/>
      <c r="E107" s="39"/>
      <c r="H107" s="39"/>
      <c r="I107" s="39"/>
      <c r="J107" s="39"/>
      <c r="K107" s="39"/>
      <c r="L107" s="39"/>
      <c r="M107" s="39">
        <f t="shared" si="44"/>
        <v>0</v>
      </c>
      <c r="P107" s="39">
        <f t="shared" si="77"/>
        <v>0</v>
      </c>
      <c r="T107" s="39">
        <f t="shared" si="73"/>
        <v>0</v>
      </c>
      <c r="V107" s="39">
        <f t="shared" si="72"/>
        <v>0</v>
      </c>
    </row>
    <row r="108" spans="1:22" x14ac:dyDescent="0.3">
      <c r="A108" s="19" t="s">
        <v>13</v>
      </c>
      <c r="B108" s="14"/>
      <c r="C108" s="33"/>
      <c r="D108" s="33"/>
      <c r="E108" s="38">
        <f>E109+E110</f>
        <v>1217758.5395024503</v>
      </c>
      <c r="F108" s="38">
        <f t="shared" ref="F108:L108" si="95">F109+F110</f>
        <v>-24037.856190141236</v>
      </c>
      <c r="G108" s="38">
        <f t="shared" si="95"/>
        <v>448060.98363942798</v>
      </c>
      <c r="H108" s="38">
        <f t="shared" si="70"/>
        <v>1641781.6669517369</v>
      </c>
      <c r="I108" s="38">
        <f t="shared" si="95"/>
        <v>0</v>
      </c>
      <c r="J108" s="38">
        <f t="shared" si="95"/>
        <v>17874.14832845152</v>
      </c>
      <c r="K108" s="38">
        <f t="shared" si="95"/>
        <v>0</v>
      </c>
      <c r="L108" s="38">
        <f t="shared" si="95"/>
        <v>0</v>
      </c>
      <c r="M108" s="38">
        <f t="shared" si="44"/>
        <v>1659655.8152801883</v>
      </c>
      <c r="N108" s="38">
        <f>N109+N110+N111</f>
        <v>-182084.3490213505</v>
      </c>
      <c r="O108" s="38">
        <f>O109+O110+O111</f>
        <v>244524.63526286889</v>
      </c>
      <c r="P108" s="38">
        <f t="shared" si="77"/>
        <v>1722096.1015217067</v>
      </c>
      <c r="Q108" s="38">
        <f>Q109+Q110+Q111</f>
        <v>-82974.256231183172</v>
      </c>
      <c r="R108" s="38">
        <f t="shared" ref="R108:S108" si="96">R109+R110+R111</f>
        <v>0</v>
      </c>
      <c r="S108" s="38">
        <f t="shared" si="96"/>
        <v>-301991.81164325651</v>
      </c>
      <c r="T108" s="38">
        <f t="shared" si="73"/>
        <v>1337130.0336472669</v>
      </c>
      <c r="U108" s="38">
        <f t="shared" ref="U108" si="97">U109+U110+U111</f>
        <v>-245296.85767183517</v>
      </c>
      <c r="V108" s="38">
        <f t="shared" si="72"/>
        <v>1091833.1759754317</v>
      </c>
    </row>
    <row r="109" spans="1:22" x14ac:dyDescent="0.3">
      <c r="A109" s="16" t="s">
        <v>8</v>
      </c>
      <c r="B109" s="14">
        <v>20</v>
      </c>
      <c r="C109" s="14">
        <v>55</v>
      </c>
      <c r="D109" s="14"/>
      <c r="E109" s="39">
        <v>1171930.3295880831</v>
      </c>
      <c r="F109" s="39">
        <v>-23093.560942313499</v>
      </c>
      <c r="G109" s="39">
        <v>448060.98363942798</v>
      </c>
      <c r="H109" s="39">
        <f t="shared" si="70"/>
        <v>1596897.7522851976</v>
      </c>
      <c r="I109" s="39"/>
      <c r="J109" s="39">
        <v>17874.14832845152</v>
      </c>
      <c r="K109" s="39"/>
      <c r="L109" s="39"/>
      <c r="M109" s="39">
        <f t="shared" si="44"/>
        <v>1614771.900613649</v>
      </c>
      <c r="N109" s="50">
        <v>-133129.53784427201</v>
      </c>
      <c r="P109" s="39">
        <f t="shared" si="77"/>
        <v>1481642.362769377</v>
      </c>
      <c r="Q109" s="39">
        <v>-82974.256231183172</v>
      </c>
      <c r="R109" s="39"/>
      <c r="S109" s="50">
        <v>-302726.26350267808</v>
      </c>
      <c r="T109" s="39">
        <f t="shared" si="73"/>
        <v>1095941.8430355156</v>
      </c>
      <c r="U109" s="50">
        <v>-248388.9</v>
      </c>
      <c r="V109" s="39">
        <f t="shared" si="72"/>
        <v>847552.94303551561</v>
      </c>
    </row>
    <row r="110" spans="1:22" x14ac:dyDescent="0.3">
      <c r="A110" s="16" t="s">
        <v>9</v>
      </c>
      <c r="B110" s="14">
        <v>20</v>
      </c>
      <c r="C110" s="14">
        <v>55</v>
      </c>
      <c r="D110" s="14" t="s">
        <v>10</v>
      </c>
      <c r="E110" s="39">
        <v>45828.209914367297</v>
      </c>
      <c r="F110" s="39">
        <v>-944.29524782773603</v>
      </c>
      <c r="H110" s="39">
        <f t="shared" si="70"/>
        <v>44883.91466653956</v>
      </c>
      <c r="I110" s="39"/>
      <c r="J110" s="39"/>
      <c r="K110" s="39"/>
      <c r="L110" s="39"/>
      <c r="M110" s="39">
        <f t="shared" si="44"/>
        <v>44883.91466653956</v>
      </c>
      <c r="P110" s="39">
        <f t="shared" si="77"/>
        <v>44883.91466653956</v>
      </c>
      <c r="S110" s="79">
        <v>734.45185942157286</v>
      </c>
      <c r="T110" s="39">
        <f t="shared" si="73"/>
        <v>45618.36652596113</v>
      </c>
      <c r="U110" s="50">
        <v>3092.0423281648209</v>
      </c>
      <c r="V110" s="39">
        <f t="shared" si="72"/>
        <v>48710.408854125948</v>
      </c>
    </row>
    <row r="111" spans="1:22" x14ac:dyDescent="0.3">
      <c r="A111" s="16" t="s">
        <v>84</v>
      </c>
      <c r="B111" s="14">
        <v>20</v>
      </c>
      <c r="C111" s="14">
        <v>55</v>
      </c>
      <c r="D111" s="14" t="s">
        <v>85</v>
      </c>
      <c r="E111" s="39"/>
      <c r="F111" s="39"/>
      <c r="H111" s="39"/>
      <c r="I111" s="39"/>
      <c r="J111" s="39"/>
      <c r="K111" s="39"/>
      <c r="L111" s="39"/>
      <c r="M111" s="39"/>
      <c r="N111" s="50">
        <v>-48954.811177078474</v>
      </c>
      <c r="O111" s="50">
        <v>244524.63526286889</v>
      </c>
      <c r="P111" s="39">
        <f t="shared" si="77"/>
        <v>195569.82408579043</v>
      </c>
      <c r="T111" s="39">
        <f t="shared" si="73"/>
        <v>195569.82408579043</v>
      </c>
      <c r="V111" s="39">
        <f t="shared" si="72"/>
        <v>195569.82408579043</v>
      </c>
    </row>
    <row r="112" spans="1:22" x14ac:dyDescent="0.3">
      <c r="A112" s="34"/>
      <c r="B112" s="35"/>
      <c r="C112" s="35"/>
      <c r="D112" s="34"/>
      <c r="E112" s="39"/>
      <c r="H112" s="39"/>
      <c r="I112" s="39"/>
      <c r="J112" s="39"/>
      <c r="K112" s="39"/>
      <c r="L112" s="39"/>
      <c r="M112" s="39">
        <f t="shared" si="44"/>
        <v>0</v>
      </c>
      <c r="P112" s="39">
        <f t="shared" si="77"/>
        <v>0</v>
      </c>
      <c r="T112" s="39">
        <f t="shared" si="73"/>
        <v>0</v>
      </c>
      <c r="V112" s="39">
        <f t="shared" si="72"/>
        <v>0</v>
      </c>
    </row>
    <row r="113" spans="1:22" x14ac:dyDescent="0.3">
      <c r="A113" s="15" t="s">
        <v>27</v>
      </c>
      <c r="B113" s="42"/>
      <c r="C113" s="42"/>
      <c r="D113" s="42"/>
      <c r="E113" s="38">
        <f>E114+E115</f>
        <v>2070676</v>
      </c>
      <c r="F113" s="38">
        <f t="shared" ref="F113:L113" si="98">F114+F115</f>
        <v>0</v>
      </c>
      <c r="G113" s="38">
        <f t="shared" si="98"/>
        <v>0</v>
      </c>
      <c r="H113" s="38">
        <f t="shared" si="70"/>
        <v>2070676</v>
      </c>
      <c r="I113" s="38">
        <f t="shared" si="98"/>
        <v>0</v>
      </c>
      <c r="J113" s="38">
        <f t="shared" si="98"/>
        <v>0</v>
      </c>
      <c r="K113" s="38">
        <f t="shared" si="98"/>
        <v>0</v>
      </c>
      <c r="L113" s="38">
        <f t="shared" si="98"/>
        <v>0</v>
      </c>
      <c r="M113" s="38">
        <f t="shared" si="44"/>
        <v>2070676</v>
      </c>
      <c r="N113" s="38">
        <f>N114+N115+N116</f>
        <v>-9.9999888334423304E-6</v>
      </c>
      <c r="O113" s="38">
        <f>O114+O115+O116</f>
        <v>0</v>
      </c>
      <c r="P113" s="38">
        <f t="shared" si="77"/>
        <v>2070675.9999899999</v>
      </c>
      <c r="Q113" s="38">
        <f>Q114+Q115+Q116</f>
        <v>0</v>
      </c>
      <c r="R113" s="38">
        <f t="shared" ref="R113:S113" si="99">R114+R115+R116</f>
        <v>0</v>
      </c>
      <c r="S113" s="38">
        <f t="shared" si="99"/>
        <v>0</v>
      </c>
      <c r="T113" s="38">
        <f t="shared" si="73"/>
        <v>2070675.9999899999</v>
      </c>
      <c r="U113" s="38">
        <f t="shared" ref="U113" si="100">U114+U115+U116</f>
        <v>0</v>
      </c>
      <c r="V113" s="38">
        <f t="shared" si="72"/>
        <v>2070675.9999899999</v>
      </c>
    </row>
    <row r="114" spans="1:22" x14ac:dyDescent="0.3">
      <c r="A114" s="16" t="s">
        <v>4</v>
      </c>
      <c r="B114" s="14">
        <v>40</v>
      </c>
      <c r="C114" s="14">
        <v>50</v>
      </c>
      <c r="D114" s="12"/>
      <c r="E114" s="39">
        <v>435771</v>
      </c>
      <c r="H114" s="39">
        <f t="shared" si="70"/>
        <v>435771</v>
      </c>
      <c r="I114" s="39"/>
      <c r="J114" s="39"/>
      <c r="K114" s="39"/>
      <c r="L114" s="39"/>
      <c r="M114" s="39">
        <f t="shared" si="44"/>
        <v>435771</v>
      </c>
      <c r="P114" s="39">
        <f t="shared" si="77"/>
        <v>435771</v>
      </c>
      <c r="T114" s="39">
        <f t="shared" si="73"/>
        <v>435771</v>
      </c>
      <c r="V114" s="39">
        <f t="shared" si="72"/>
        <v>435771</v>
      </c>
    </row>
    <row r="115" spans="1:22" x14ac:dyDescent="0.3">
      <c r="A115" s="16" t="s">
        <v>8</v>
      </c>
      <c r="B115" s="14">
        <v>40</v>
      </c>
      <c r="C115" s="14">
        <v>55</v>
      </c>
      <c r="D115" s="12"/>
      <c r="E115" s="39">
        <v>1634905</v>
      </c>
      <c r="H115" s="39">
        <f t="shared" si="70"/>
        <v>1634905</v>
      </c>
      <c r="I115" s="39"/>
      <c r="J115" s="39"/>
      <c r="K115" s="39"/>
      <c r="L115" s="39"/>
      <c r="M115" s="39">
        <f t="shared" ref="M115:M165" si="101">H115+I115+J115+K115+L115</f>
        <v>1634905</v>
      </c>
      <c r="N115" s="50">
        <v>-131091.00000999999</v>
      </c>
      <c r="P115" s="39">
        <f t="shared" si="77"/>
        <v>1503813.9999899999</v>
      </c>
      <c r="T115" s="39">
        <f t="shared" si="73"/>
        <v>1503813.9999899999</v>
      </c>
      <c r="V115" s="39">
        <f t="shared" si="72"/>
        <v>1503813.9999899999</v>
      </c>
    </row>
    <row r="116" spans="1:22" x14ac:dyDescent="0.3">
      <c r="A116" s="16" t="s">
        <v>6</v>
      </c>
      <c r="B116" s="14">
        <v>40</v>
      </c>
      <c r="C116" s="14">
        <v>45</v>
      </c>
      <c r="D116" s="12"/>
      <c r="E116" s="39"/>
      <c r="H116" s="39"/>
      <c r="I116" s="39"/>
      <c r="J116" s="39"/>
      <c r="K116" s="39"/>
      <c r="L116" s="39"/>
      <c r="M116" s="39"/>
      <c r="N116" s="50">
        <v>131091</v>
      </c>
      <c r="P116" s="39">
        <f t="shared" si="77"/>
        <v>131091</v>
      </c>
      <c r="T116" s="39">
        <f t="shared" si="73"/>
        <v>131091</v>
      </c>
      <c r="V116" s="39">
        <f t="shared" si="72"/>
        <v>131091</v>
      </c>
    </row>
    <row r="117" spans="1:22" x14ac:dyDescent="0.3">
      <c r="A117" s="18"/>
      <c r="B117" s="43"/>
      <c r="C117" s="43"/>
      <c r="D117" s="43"/>
      <c r="E117" s="39"/>
      <c r="H117" s="39"/>
      <c r="I117" s="39"/>
      <c r="J117" s="39"/>
      <c r="K117" s="39"/>
      <c r="L117" s="39"/>
      <c r="M117" s="39">
        <f t="shared" si="101"/>
        <v>0</v>
      </c>
      <c r="P117" s="39">
        <f t="shared" si="77"/>
        <v>0</v>
      </c>
      <c r="T117" s="39">
        <f t="shared" si="73"/>
        <v>0</v>
      </c>
      <c r="V117" s="39">
        <f t="shared" si="72"/>
        <v>0</v>
      </c>
    </row>
    <row r="118" spans="1:22" x14ac:dyDescent="0.3">
      <c r="A118" s="15" t="s">
        <v>12</v>
      </c>
      <c r="B118" s="14">
        <v>60</v>
      </c>
      <c r="C118" s="33">
        <v>610</v>
      </c>
      <c r="D118" s="34"/>
      <c r="E118" s="38">
        <v>41</v>
      </c>
      <c r="F118" s="38"/>
      <c r="G118" s="38"/>
      <c r="H118" s="38">
        <f t="shared" si="70"/>
        <v>41</v>
      </c>
      <c r="I118" s="38"/>
      <c r="J118" s="38"/>
      <c r="K118" s="38"/>
      <c r="L118" s="38"/>
      <c r="M118" s="38">
        <f t="shared" si="101"/>
        <v>41</v>
      </c>
      <c r="P118" s="38">
        <f t="shared" si="77"/>
        <v>41</v>
      </c>
      <c r="T118" s="38">
        <f t="shared" si="73"/>
        <v>41</v>
      </c>
      <c r="V118" s="38">
        <f t="shared" si="72"/>
        <v>41</v>
      </c>
    </row>
    <row r="119" spans="1:22" x14ac:dyDescent="0.3">
      <c r="A119" s="12"/>
      <c r="B119" s="14"/>
      <c r="C119" s="33"/>
      <c r="D119" s="34"/>
      <c r="H119" s="39"/>
      <c r="I119" s="39"/>
      <c r="J119" s="39"/>
      <c r="K119" s="39"/>
      <c r="L119" s="39"/>
      <c r="M119" s="39">
        <f t="shared" si="101"/>
        <v>0</v>
      </c>
      <c r="P119" s="39">
        <f t="shared" si="77"/>
        <v>0</v>
      </c>
      <c r="T119" s="39">
        <f t="shared" si="73"/>
        <v>0</v>
      </c>
      <c r="V119" s="39">
        <f t="shared" si="72"/>
        <v>0</v>
      </c>
    </row>
    <row r="120" spans="1:22" ht="15.5" x14ac:dyDescent="0.35">
      <c r="A120" s="8" t="s">
        <v>21</v>
      </c>
      <c r="B120" s="35"/>
      <c r="C120" s="41"/>
      <c r="D120" s="32"/>
      <c r="E120" s="37">
        <f>E121+E126+E130+E135</f>
        <v>7914538.0021680202</v>
      </c>
      <c r="F120" s="37">
        <f t="shared" ref="F120:L120" si="102">F121+F126+F130+F135</f>
        <v>-1770.0336376238411</v>
      </c>
      <c r="G120" s="37">
        <f t="shared" si="102"/>
        <v>746491.20452521299</v>
      </c>
      <c r="H120" s="37">
        <f t="shared" si="70"/>
        <v>8659259.1730556097</v>
      </c>
      <c r="I120" s="37">
        <f t="shared" si="102"/>
        <v>-122114.86352821396</v>
      </c>
      <c r="J120" s="37">
        <f t="shared" si="102"/>
        <v>29779.193017854217</v>
      </c>
      <c r="K120" s="37">
        <f t="shared" si="102"/>
        <v>0</v>
      </c>
      <c r="L120" s="37">
        <f t="shared" si="102"/>
        <v>0</v>
      </c>
      <c r="M120" s="37">
        <f t="shared" si="101"/>
        <v>8566923.5025452487</v>
      </c>
      <c r="N120" s="37">
        <f>N121+N126+N130+N135</f>
        <v>-226733.4490855998</v>
      </c>
      <c r="O120" s="37">
        <f>O121+O126+O130+O135</f>
        <v>407389.83347936609</v>
      </c>
      <c r="P120" s="37">
        <f t="shared" si="77"/>
        <v>8747579.8869390152</v>
      </c>
      <c r="Q120" s="37">
        <f>Q121+Q126+Q130+Q135</f>
        <v>-136024.56463309619</v>
      </c>
      <c r="R120" s="37">
        <f t="shared" ref="R120:S120" si="103">R121+R126+R130+R135</f>
        <v>-11878.83182090019</v>
      </c>
      <c r="S120" s="37">
        <f t="shared" si="103"/>
        <v>-497701.07124015695</v>
      </c>
      <c r="T120" s="37">
        <f t="shared" si="73"/>
        <v>8101975.4192448631</v>
      </c>
      <c r="U120" s="37">
        <f t="shared" ref="U120" si="104">U121+U126+U130+U135</f>
        <v>-356777.12328164821</v>
      </c>
      <c r="V120" s="37">
        <f t="shared" si="72"/>
        <v>7745198.2959632147</v>
      </c>
    </row>
    <row r="121" spans="1:22" x14ac:dyDescent="0.3">
      <c r="A121" s="15" t="s">
        <v>6</v>
      </c>
      <c r="B121" s="14"/>
      <c r="C121" s="33"/>
      <c r="D121" s="33"/>
      <c r="E121" s="38">
        <f>E122+E123+E124</f>
        <v>2850550.7749457201</v>
      </c>
      <c r="F121" s="40">
        <f t="shared" ref="F121:L121" si="105">F122+F123+F124</f>
        <v>0</v>
      </c>
      <c r="G121" s="40">
        <f t="shared" si="105"/>
        <v>0</v>
      </c>
      <c r="H121" s="40">
        <f t="shared" si="70"/>
        <v>2850550.7749457201</v>
      </c>
      <c r="I121" s="40">
        <f t="shared" si="105"/>
        <v>0</v>
      </c>
      <c r="J121" s="40">
        <f t="shared" si="105"/>
        <v>0</v>
      </c>
      <c r="K121" s="40">
        <f t="shared" si="105"/>
        <v>0</v>
      </c>
      <c r="L121" s="40">
        <f t="shared" si="105"/>
        <v>0</v>
      </c>
      <c r="M121" s="40">
        <f t="shared" si="101"/>
        <v>2850550.7749457201</v>
      </c>
      <c r="N121" s="38">
        <f>N122+N123+N124</f>
        <v>0</v>
      </c>
      <c r="O121" s="38">
        <f>O122+O123+O124</f>
        <v>0</v>
      </c>
      <c r="P121" s="40">
        <f t="shared" si="77"/>
        <v>2850550.7749457201</v>
      </c>
      <c r="Q121" s="38">
        <f>Q122+Q123+Q124</f>
        <v>0</v>
      </c>
      <c r="R121" s="38">
        <f t="shared" ref="R121:S121" si="106">R122+R123+R124</f>
        <v>0</v>
      </c>
      <c r="S121" s="38">
        <f t="shared" si="106"/>
        <v>0</v>
      </c>
      <c r="T121" s="40">
        <f t="shared" si="73"/>
        <v>2850550.7749457201</v>
      </c>
      <c r="U121" s="38">
        <f t="shared" ref="U121" si="107">U122+U123+U124</f>
        <v>0</v>
      </c>
      <c r="V121" s="40">
        <f t="shared" si="72"/>
        <v>2850550.7749457201</v>
      </c>
    </row>
    <row r="122" spans="1:22" x14ac:dyDescent="0.3">
      <c r="A122" s="16" t="s">
        <v>25</v>
      </c>
      <c r="B122" s="14">
        <v>20</v>
      </c>
      <c r="C122" s="14">
        <v>45</v>
      </c>
      <c r="D122" s="14"/>
      <c r="E122" s="39">
        <v>2779550.7749457201</v>
      </c>
      <c r="H122" s="39">
        <f t="shared" si="70"/>
        <v>2779550.7749457201</v>
      </c>
      <c r="I122" s="39"/>
      <c r="J122" s="39"/>
      <c r="K122" s="39"/>
      <c r="L122" s="39"/>
      <c r="M122" s="39">
        <f t="shared" si="101"/>
        <v>2779550.7749457201</v>
      </c>
      <c r="P122" s="39">
        <f t="shared" si="77"/>
        <v>2779550.7749457201</v>
      </c>
      <c r="T122" s="39">
        <f t="shared" si="73"/>
        <v>2779550.7749457201</v>
      </c>
      <c r="V122" s="39">
        <f t="shared" si="72"/>
        <v>2779550.7749457201</v>
      </c>
    </row>
    <row r="123" spans="1:22" x14ac:dyDescent="0.3">
      <c r="A123" s="16" t="s">
        <v>28</v>
      </c>
      <c r="B123" s="14">
        <v>20</v>
      </c>
      <c r="C123" s="14">
        <v>45</v>
      </c>
      <c r="D123" s="14" t="s">
        <v>29</v>
      </c>
      <c r="E123" s="39">
        <v>51000</v>
      </c>
      <c r="H123" s="39">
        <f t="shared" si="70"/>
        <v>51000</v>
      </c>
      <c r="I123" s="39"/>
      <c r="J123" s="39"/>
      <c r="K123" s="39"/>
      <c r="L123" s="39"/>
      <c r="M123" s="39">
        <f t="shared" si="101"/>
        <v>51000</v>
      </c>
      <c r="P123" s="39">
        <f t="shared" si="77"/>
        <v>51000</v>
      </c>
      <c r="T123" s="39">
        <f t="shared" si="73"/>
        <v>51000</v>
      </c>
      <c r="V123" s="39">
        <f t="shared" si="72"/>
        <v>51000</v>
      </c>
    </row>
    <row r="124" spans="1:22" x14ac:dyDescent="0.3">
      <c r="A124" s="16" t="s">
        <v>28</v>
      </c>
      <c r="B124" s="14">
        <v>20</v>
      </c>
      <c r="C124" s="14">
        <v>45</v>
      </c>
      <c r="D124" s="14" t="s">
        <v>30</v>
      </c>
      <c r="E124" s="39">
        <v>20000</v>
      </c>
      <c r="H124" s="39">
        <f t="shared" si="70"/>
        <v>20000</v>
      </c>
      <c r="I124" s="39"/>
      <c r="J124" s="39"/>
      <c r="K124" s="39"/>
      <c r="L124" s="39"/>
      <c r="M124" s="39">
        <f t="shared" si="101"/>
        <v>20000</v>
      </c>
      <c r="P124" s="39">
        <f t="shared" si="77"/>
        <v>20000</v>
      </c>
      <c r="T124" s="39">
        <f t="shared" si="73"/>
        <v>20000</v>
      </c>
      <c r="V124" s="39">
        <f t="shared" si="72"/>
        <v>20000</v>
      </c>
    </row>
    <row r="125" spans="1:22" x14ac:dyDescent="0.3">
      <c r="A125" s="34"/>
      <c r="B125" s="35"/>
      <c r="C125" s="35"/>
      <c r="D125" s="34"/>
      <c r="E125" s="39"/>
      <c r="H125" s="39"/>
      <c r="I125" s="39"/>
      <c r="J125" s="39"/>
      <c r="K125" s="39"/>
      <c r="L125" s="39"/>
      <c r="M125" s="39">
        <f t="shared" si="101"/>
        <v>0</v>
      </c>
      <c r="P125" s="39">
        <f t="shared" si="77"/>
        <v>0</v>
      </c>
      <c r="T125" s="39">
        <f t="shared" si="73"/>
        <v>0</v>
      </c>
      <c r="V125" s="39">
        <f t="shared" si="72"/>
        <v>0</v>
      </c>
    </row>
    <row r="126" spans="1:22" x14ac:dyDescent="0.3">
      <c r="A126" s="15" t="s">
        <v>4</v>
      </c>
      <c r="B126" s="14"/>
      <c r="C126" s="33"/>
      <c r="D126" s="33"/>
      <c r="E126" s="40">
        <f>E127</f>
        <v>2693646.9371212702</v>
      </c>
      <c r="F126" s="40">
        <f t="shared" ref="F126:L126" si="108">F127</f>
        <v>45262</v>
      </c>
      <c r="G126" s="40">
        <f t="shared" si="108"/>
        <v>0</v>
      </c>
      <c r="H126" s="40">
        <f t="shared" si="70"/>
        <v>2738908.9371212702</v>
      </c>
      <c r="I126" s="40">
        <f t="shared" si="108"/>
        <v>-122114.86352821396</v>
      </c>
      <c r="J126" s="40">
        <f t="shared" si="108"/>
        <v>0</v>
      </c>
      <c r="K126" s="40">
        <f t="shared" si="108"/>
        <v>0</v>
      </c>
      <c r="L126" s="40">
        <f t="shared" si="108"/>
        <v>0</v>
      </c>
      <c r="M126" s="40">
        <f t="shared" si="101"/>
        <v>2616794.0735930563</v>
      </c>
      <c r="N126" s="40">
        <f>N127+N128</f>
        <v>57699.882754381048</v>
      </c>
      <c r="O126" s="40">
        <f>O127+O128</f>
        <v>0</v>
      </c>
      <c r="P126" s="40">
        <f t="shared" si="77"/>
        <v>2674493.9563474376</v>
      </c>
      <c r="Q126" s="40">
        <f>Q127+Q128</f>
        <v>2214.5473187821508</v>
      </c>
      <c r="R126" s="40">
        <f t="shared" ref="R126:S126" si="109">R127+R128</f>
        <v>-11878.83182090019</v>
      </c>
      <c r="S126" s="40">
        <f t="shared" si="109"/>
        <v>0</v>
      </c>
      <c r="T126" s="40">
        <f t="shared" si="73"/>
        <v>2664829.6718453197</v>
      </c>
      <c r="U126" s="40">
        <f t="shared" ref="U126" si="110">U127+U128</f>
        <v>0</v>
      </c>
      <c r="V126" s="40">
        <f t="shared" si="72"/>
        <v>2664829.6718453197</v>
      </c>
    </row>
    <row r="127" spans="1:22" x14ac:dyDescent="0.3">
      <c r="A127" s="16" t="s">
        <v>5</v>
      </c>
      <c r="B127" s="14">
        <v>20</v>
      </c>
      <c r="C127" s="14">
        <v>50</v>
      </c>
      <c r="D127" s="14"/>
      <c r="E127" s="39">
        <f>2693038.93712127+608</f>
        <v>2693646.9371212702</v>
      </c>
      <c r="F127" s="39">
        <v>45262</v>
      </c>
      <c r="H127" s="39">
        <f t="shared" si="70"/>
        <v>2738908.9371212702</v>
      </c>
      <c r="I127" s="39">
        <v>-122114.86352821396</v>
      </c>
      <c r="J127" s="39"/>
      <c r="K127" s="39"/>
      <c r="L127" s="39"/>
      <c r="M127" s="39">
        <f t="shared" si="101"/>
        <v>2616794.0735930563</v>
      </c>
      <c r="N127" s="50">
        <v>13612.084186114294</v>
      </c>
      <c r="P127" s="39">
        <f t="shared" si="77"/>
        <v>2630406.1577791707</v>
      </c>
      <c r="Q127" s="39">
        <v>2214.5473187821508</v>
      </c>
      <c r="R127" s="39">
        <v>-11878.83182090019</v>
      </c>
      <c r="T127" s="39">
        <f t="shared" si="73"/>
        <v>2620741.8732770528</v>
      </c>
      <c r="V127" s="39">
        <f t="shared" si="72"/>
        <v>2620741.8732770528</v>
      </c>
    </row>
    <row r="128" spans="1:22" x14ac:dyDescent="0.3">
      <c r="A128" s="16" t="s">
        <v>83</v>
      </c>
      <c r="B128" s="14">
        <v>10</v>
      </c>
      <c r="C128" s="14">
        <v>50</v>
      </c>
      <c r="D128" s="14" t="s">
        <v>36</v>
      </c>
      <c r="E128" s="39"/>
      <c r="F128" s="39"/>
      <c r="H128" s="39"/>
      <c r="I128" s="39"/>
      <c r="J128" s="39"/>
      <c r="K128" s="39"/>
      <c r="L128" s="39"/>
      <c r="M128" s="39"/>
      <c r="N128" s="50">
        <v>44087.798568266749</v>
      </c>
      <c r="P128" s="39">
        <f t="shared" si="77"/>
        <v>44087.798568266749</v>
      </c>
      <c r="T128" s="39">
        <f t="shared" si="73"/>
        <v>44087.798568266749</v>
      </c>
      <c r="V128" s="39">
        <f t="shared" si="72"/>
        <v>44087.798568266749</v>
      </c>
    </row>
    <row r="129" spans="1:22" x14ac:dyDescent="0.3">
      <c r="A129" s="16"/>
      <c r="B129" s="14"/>
      <c r="C129" s="14"/>
      <c r="D129" s="14"/>
      <c r="E129" s="39"/>
      <c r="H129" s="39"/>
      <c r="I129" s="39"/>
      <c r="J129" s="39"/>
      <c r="K129" s="39"/>
      <c r="L129" s="39"/>
      <c r="M129" s="39">
        <f t="shared" si="101"/>
        <v>0</v>
      </c>
      <c r="P129" s="39">
        <f t="shared" si="77"/>
        <v>0</v>
      </c>
      <c r="T129" s="39">
        <f t="shared" si="73"/>
        <v>0</v>
      </c>
      <c r="V129" s="39">
        <f t="shared" si="72"/>
        <v>0</v>
      </c>
    </row>
    <row r="130" spans="1:22" x14ac:dyDescent="0.3">
      <c r="A130" s="19" t="s">
        <v>13</v>
      </c>
      <c r="B130" s="14"/>
      <c r="C130" s="33"/>
      <c r="D130" s="33"/>
      <c r="E130" s="40">
        <f>E131+E132</f>
        <v>2367778.337539399</v>
      </c>
      <c r="F130" s="40">
        <f t="shared" ref="F130:L130" si="111">F131+F132</f>
        <v>-47032.033637623841</v>
      </c>
      <c r="G130" s="40">
        <f t="shared" si="111"/>
        <v>746491.20452521299</v>
      </c>
      <c r="H130" s="40">
        <f t="shared" si="70"/>
        <v>3067237.5084269885</v>
      </c>
      <c r="I130" s="40">
        <f t="shared" si="111"/>
        <v>0</v>
      </c>
      <c r="J130" s="40">
        <f t="shared" si="111"/>
        <v>29779.193017854217</v>
      </c>
      <c r="K130" s="40">
        <f t="shared" si="111"/>
        <v>0</v>
      </c>
      <c r="L130" s="40">
        <f t="shared" si="111"/>
        <v>0</v>
      </c>
      <c r="M130" s="40">
        <f t="shared" si="101"/>
        <v>3097016.7014448429</v>
      </c>
      <c r="N130" s="40">
        <f>N131+N132+N133</f>
        <v>-284433.33183998085</v>
      </c>
      <c r="O130" s="40">
        <f>O131+O132+O133</f>
        <v>407389.83347936609</v>
      </c>
      <c r="P130" s="40">
        <f t="shared" si="77"/>
        <v>3219973.2030842281</v>
      </c>
      <c r="Q130" s="40">
        <f>Q131+Q132+Q133</f>
        <v>-138239.11195187835</v>
      </c>
      <c r="R130" s="40">
        <f t="shared" ref="R130:S130" si="112">R131+R132+R133</f>
        <v>0</v>
      </c>
      <c r="S130" s="40">
        <f t="shared" si="112"/>
        <v>-497701.07124015695</v>
      </c>
      <c r="T130" s="40">
        <f t="shared" si="73"/>
        <v>2584033.0198921929</v>
      </c>
      <c r="U130" s="40">
        <f t="shared" ref="U130" si="113">U131+U132+U133</f>
        <v>-356777.12328164821</v>
      </c>
      <c r="V130" s="40">
        <f t="shared" si="72"/>
        <v>2227255.8966105445</v>
      </c>
    </row>
    <row r="131" spans="1:22" x14ac:dyDescent="0.3">
      <c r="A131" s="16" t="s">
        <v>8</v>
      </c>
      <c r="B131" s="14">
        <v>20</v>
      </c>
      <c r="C131" s="14">
        <v>55</v>
      </c>
      <c r="D131" s="14"/>
      <c r="E131" s="39">
        <v>1952492.436683072</v>
      </c>
      <c r="F131" s="3">
        <v>-38474.9861159012</v>
      </c>
      <c r="G131" s="39">
        <v>746491.20452521299</v>
      </c>
      <c r="H131" s="39">
        <f t="shared" si="70"/>
        <v>2660508.6550923837</v>
      </c>
      <c r="I131" s="39"/>
      <c r="J131" s="39">
        <v>29779.193017854217</v>
      </c>
      <c r="K131" s="39"/>
      <c r="L131" s="39"/>
      <c r="M131" s="39">
        <f t="shared" si="101"/>
        <v>2690287.8481102381</v>
      </c>
      <c r="N131" s="50">
        <v>-202872.255787239</v>
      </c>
      <c r="P131" s="39">
        <f t="shared" si="77"/>
        <v>2487415.5923229991</v>
      </c>
      <c r="Q131" s="39">
        <v>-138239.11195187835</v>
      </c>
      <c r="R131" s="39"/>
      <c r="S131" s="50">
        <v>-504356.55264594121</v>
      </c>
      <c r="T131" s="39">
        <f t="shared" si="73"/>
        <v>1844819.9277251796</v>
      </c>
      <c r="U131" s="50">
        <v>-384796.7</v>
      </c>
      <c r="V131" s="39">
        <f t="shared" si="72"/>
        <v>1460023.2277251796</v>
      </c>
    </row>
    <row r="132" spans="1:22" x14ac:dyDescent="0.3">
      <c r="A132" s="16" t="s">
        <v>9</v>
      </c>
      <c r="B132" s="14">
        <v>20</v>
      </c>
      <c r="C132" s="14">
        <v>55</v>
      </c>
      <c r="D132" s="14" t="s">
        <v>10</v>
      </c>
      <c r="E132" s="39">
        <v>415285.90085632697</v>
      </c>
      <c r="F132" s="39">
        <v>-8557.0475217226394</v>
      </c>
      <c r="H132" s="39">
        <f t="shared" si="70"/>
        <v>406728.85333460436</v>
      </c>
      <c r="I132" s="39"/>
      <c r="J132" s="39"/>
      <c r="K132" s="39"/>
      <c r="L132" s="39"/>
      <c r="M132" s="39">
        <f t="shared" si="101"/>
        <v>406728.85333460436</v>
      </c>
      <c r="P132" s="39">
        <f t="shared" si="77"/>
        <v>406728.85333460436</v>
      </c>
      <c r="S132" s="79">
        <v>6655.4814057842741</v>
      </c>
      <c r="T132" s="39">
        <f t="shared" si="73"/>
        <v>413384.33474038861</v>
      </c>
      <c r="U132" s="50">
        <v>28019.576718351782</v>
      </c>
      <c r="V132" s="39">
        <f t="shared" si="72"/>
        <v>441403.91145874042</v>
      </c>
    </row>
    <row r="133" spans="1:22" x14ac:dyDescent="0.3">
      <c r="A133" s="16" t="s">
        <v>84</v>
      </c>
      <c r="B133" s="14">
        <v>20</v>
      </c>
      <c r="C133" s="14">
        <v>55</v>
      </c>
      <c r="D133" s="14" t="s">
        <v>85</v>
      </c>
      <c r="E133" s="39"/>
      <c r="F133" s="39"/>
      <c r="H133" s="39"/>
      <c r="I133" s="39"/>
      <c r="J133" s="39"/>
      <c r="K133" s="39"/>
      <c r="L133" s="39"/>
      <c r="M133" s="39"/>
      <c r="N133" s="50">
        <v>-81561.076052741832</v>
      </c>
      <c r="O133" s="50">
        <v>407389.83347936609</v>
      </c>
      <c r="P133" s="39">
        <f t="shared" si="77"/>
        <v>325828.75742662424</v>
      </c>
      <c r="T133" s="39">
        <f t="shared" si="73"/>
        <v>325828.75742662424</v>
      </c>
      <c r="V133" s="39">
        <f t="shared" si="72"/>
        <v>325828.75742662424</v>
      </c>
    </row>
    <row r="134" spans="1:22" x14ac:dyDescent="0.3">
      <c r="A134" s="34"/>
      <c r="B134" s="35"/>
      <c r="C134" s="35"/>
      <c r="D134" s="34"/>
      <c r="E134" s="39"/>
      <c r="H134" s="39"/>
      <c r="I134" s="39"/>
      <c r="J134" s="39"/>
      <c r="K134" s="39"/>
      <c r="L134" s="39"/>
      <c r="M134" s="39">
        <f t="shared" si="101"/>
        <v>0</v>
      </c>
      <c r="P134" s="39">
        <f t="shared" si="77"/>
        <v>0</v>
      </c>
      <c r="T134" s="39">
        <f t="shared" si="73"/>
        <v>0</v>
      </c>
      <c r="V134" s="39">
        <f t="shared" si="72"/>
        <v>0</v>
      </c>
    </row>
    <row r="135" spans="1:22" x14ac:dyDescent="0.3">
      <c r="A135" s="15" t="s">
        <v>12</v>
      </c>
      <c r="B135" s="14">
        <v>60</v>
      </c>
      <c r="C135" s="33">
        <v>610</v>
      </c>
      <c r="D135" s="34"/>
      <c r="E135" s="40">
        <v>2561.9525616312299</v>
      </c>
      <c r="F135" s="40"/>
      <c r="G135" s="40"/>
      <c r="H135" s="40">
        <f t="shared" si="70"/>
        <v>2561.9525616312299</v>
      </c>
      <c r="I135" s="40"/>
      <c r="J135" s="40"/>
      <c r="K135" s="40"/>
      <c r="L135" s="40"/>
      <c r="M135" s="40">
        <f t="shared" si="101"/>
        <v>2561.9525616312299</v>
      </c>
      <c r="P135" s="40">
        <f t="shared" si="77"/>
        <v>2561.9525616312299</v>
      </c>
      <c r="T135" s="40">
        <f t="shared" si="73"/>
        <v>2561.9525616312299</v>
      </c>
      <c r="V135" s="40">
        <f t="shared" ref="V135:V171" si="114">T135+U135</f>
        <v>2561.9525616312299</v>
      </c>
    </row>
    <row r="136" spans="1:22" x14ac:dyDescent="0.3">
      <c r="A136" s="15"/>
      <c r="B136" s="14"/>
      <c r="C136" s="33"/>
      <c r="D136" s="34"/>
      <c r="E136" s="40"/>
      <c r="H136" s="39"/>
      <c r="I136" s="39"/>
      <c r="J136" s="39"/>
      <c r="K136" s="39"/>
      <c r="L136" s="39"/>
      <c r="M136" s="39">
        <f t="shared" si="101"/>
        <v>0</v>
      </c>
      <c r="P136" s="39">
        <f t="shared" si="77"/>
        <v>0</v>
      </c>
      <c r="T136" s="39">
        <f t="shared" si="73"/>
        <v>0</v>
      </c>
      <c r="V136" s="39">
        <f t="shared" si="114"/>
        <v>0</v>
      </c>
    </row>
    <row r="137" spans="1:22" ht="15.5" x14ac:dyDescent="0.35">
      <c r="A137" s="8" t="s">
        <v>22</v>
      </c>
      <c r="B137" s="14"/>
      <c r="C137" s="36"/>
      <c r="D137" s="34"/>
      <c r="E137" s="37">
        <f>E138+E142+E147+E155</f>
        <v>8429589.2067493852</v>
      </c>
      <c r="F137" s="37">
        <f>F138+F142+F147+F155</f>
        <v>-11863.937183085043</v>
      </c>
      <c r="G137" s="37">
        <f>G138+G142+G147+G155</f>
        <v>1094208.8204151299</v>
      </c>
      <c r="H137" s="37">
        <f t="shared" si="70"/>
        <v>9511934.0899814293</v>
      </c>
      <c r="I137" s="37">
        <f>I138+I142+I147+I155</f>
        <v>-73945.390070903988</v>
      </c>
      <c r="J137" s="37">
        <f>J138+J142+J147+J155</f>
        <v>27472.529621516049</v>
      </c>
      <c r="K137" s="37">
        <f>K138+K142+K147+K155</f>
        <v>696000</v>
      </c>
      <c r="L137" s="37">
        <f>L138+L142+L147+L155</f>
        <v>0</v>
      </c>
      <c r="M137" s="37">
        <f t="shared" si="101"/>
        <v>10161461.229532041</v>
      </c>
      <c r="N137" s="37">
        <f>N138+N142+N147+N155</f>
        <v>-946811.87413906446</v>
      </c>
      <c r="O137" s="37">
        <f>O138+O142+O147+O155</f>
        <v>583853.86699082702</v>
      </c>
      <c r="P137" s="37">
        <f t="shared" si="77"/>
        <v>9798503.2223838028</v>
      </c>
      <c r="Q137" s="37">
        <f>Q138+Q142+Q147+Q155</f>
        <v>-126190.26686398427</v>
      </c>
      <c r="R137" s="37">
        <f t="shared" ref="R137:S137" si="115">R138+R142+R147+R155</f>
        <v>-7193.1035027540684</v>
      </c>
      <c r="S137" s="37">
        <f t="shared" si="115"/>
        <v>-462351.84376488224</v>
      </c>
      <c r="T137" s="37">
        <f t="shared" si="73"/>
        <v>9202768.0082521811</v>
      </c>
      <c r="U137" s="37">
        <f t="shared" ref="U137" si="116">U138+U142+U147+U155</f>
        <v>20289.069312659281</v>
      </c>
      <c r="V137" s="37">
        <f t="shared" si="114"/>
        <v>9223057.0775648411</v>
      </c>
    </row>
    <row r="138" spans="1:22" x14ac:dyDescent="0.3">
      <c r="A138" s="15" t="s">
        <v>6</v>
      </c>
      <c r="B138" s="14"/>
      <c r="C138" s="33"/>
      <c r="D138" s="33"/>
      <c r="E138" s="38">
        <f>E139+E140</f>
        <v>4813749.1657320168</v>
      </c>
      <c r="F138" s="38">
        <f t="shared" ref="F138:L138" si="117">F139+F140</f>
        <v>0</v>
      </c>
      <c r="G138" s="38">
        <f t="shared" si="117"/>
        <v>0</v>
      </c>
      <c r="H138" s="38">
        <f t="shared" si="70"/>
        <v>4813749.1657320168</v>
      </c>
      <c r="I138" s="38">
        <f t="shared" si="117"/>
        <v>0</v>
      </c>
      <c r="J138" s="38">
        <f t="shared" si="117"/>
        <v>0</v>
      </c>
      <c r="K138" s="38">
        <f t="shared" si="117"/>
        <v>0</v>
      </c>
      <c r="L138" s="38">
        <f t="shared" si="117"/>
        <v>0</v>
      </c>
      <c r="M138" s="38">
        <f t="shared" si="101"/>
        <v>4813749.1657320168</v>
      </c>
      <c r="N138" s="38">
        <f>N139+N140</f>
        <v>-43350.000010000003</v>
      </c>
      <c r="O138" s="38">
        <f>O139+O140</f>
        <v>0</v>
      </c>
      <c r="P138" s="38">
        <f t="shared" si="77"/>
        <v>4770399.1657220172</v>
      </c>
      <c r="Q138" s="38">
        <f>Q139+Q140</f>
        <v>0</v>
      </c>
      <c r="R138" s="38">
        <f t="shared" ref="R138:S138" si="118">R139+R140</f>
        <v>0</v>
      </c>
      <c r="S138" s="38">
        <f t="shared" si="118"/>
        <v>0</v>
      </c>
      <c r="T138" s="38">
        <f t="shared" si="73"/>
        <v>4770399.1657220172</v>
      </c>
      <c r="U138" s="38">
        <f t="shared" ref="U138" si="119">U139+U140</f>
        <v>0</v>
      </c>
      <c r="V138" s="38">
        <f t="shared" si="114"/>
        <v>4770399.1657220172</v>
      </c>
    </row>
    <row r="139" spans="1:22" x14ac:dyDescent="0.3">
      <c r="A139" s="44" t="s">
        <v>31</v>
      </c>
      <c r="B139" s="14">
        <v>20</v>
      </c>
      <c r="C139" s="14">
        <v>45</v>
      </c>
      <c r="D139" s="14"/>
      <c r="E139" s="39">
        <f>588748.165732017+1</f>
        <v>588749.16573201702</v>
      </c>
      <c r="H139" s="39">
        <f t="shared" si="70"/>
        <v>588749.16573201702</v>
      </c>
      <c r="I139" s="39"/>
      <c r="J139" s="39"/>
      <c r="K139" s="39"/>
      <c r="L139" s="39"/>
      <c r="M139" s="39">
        <f t="shared" si="101"/>
        <v>588749.16573201702</v>
      </c>
      <c r="P139" s="39">
        <f t="shared" si="77"/>
        <v>588749.16573201702</v>
      </c>
      <c r="T139" s="39">
        <f t="shared" ref="T139:T171" si="120">P139+Q139+R139+S139</f>
        <v>588749.16573201702</v>
      </c>
      <c r="V139" s="39">
        <f t="shared" si="114"/>
        <v>588749.16573201702</v>
      </c>
    </row>
    <row r="140" spans="1:22" x14ac:dyDescent="0.3">
      <c r="A140" s="44" t="s">
        <v>32</v>
      </c>
      <c r="B140" s="14">
        <v>20</v>
      </c>
      <c r="C140" s="14">
        <v>45</v>
      </c>
      <c r="D140" s="14" t="s">
        <v>33</v>
      </c>
      <c r="E140" s="39">
        <v>4225000</v>
      </c>
      <c r="H140" s="39">
        <f t="shared" si="70"/>
        <v>4225000</v>
      </c>
      <c r="I140" s="39"/>
      <c r="J140" s="39"/>
      <c r="K140" s="39"/>
      <c r="L140" s="39"/>
      <c r="M140" s="39">
        <f t="shared" si="101"/>
        <v>4225000</v>
      </c>
      <c r="N140" s="76">
        <v>-43350.000010000003</v>
      </c>
      <c r="P140" s="39">
        <f t="shared" si="77"/>
        <v>4181649.9999899999</v>
      </c>
      <c r="T140" s="39">
        <f t="shared" si="120"/>
        <v>4181649.9999899999</v>
      </c>
      <c r="V140" s="39">
        <f t="shared" si="114"/>
        <v>4181649.9999899999</v>
      </c>
    </row>
    <row r="141" spans="1:22" ht="15.5" x14ac:dyDescent="0.35">
      <c r="A141" s="8"/>
      <c r="B141" s="14"/>
      <c r="C141" s="36"/>
      <c r="D141" s="34"/>
      <c r="E141" s="37"/>
      <c r="H141" s="39"/>
      <c r="I141" s="39"/>
      <c r="J141" s="39"/>
      <c r="K141" s="39"/>
      <c r="L141" s="39"/>
      <c r="M141" s="39">
        <f t="shared" si="101"/>
        <v>0</v>
      </c>
      <c r="P141" s="39">
        <f t="shared" si="77"/>
        <v>0</v>
      </c>
      <c r="T141" s="39">
        <f t="shared" si="120"/>
        <v>0</v>
      </c>
      <c r="V141" s="39">
        <f t="shared" si="114"/>
        <v>0</v>
      </c>
    </row>
    <row r="142" spans="1:22" x14ac:dyDescent="0.3">
      <c r="A142" s="15" t="s">
        <v>4</v>
      </c>
      <c r="B142" s="14"/>
      <c r="C142" s="33"/>
      <c r="D142" s="33"/>
      <c r="E142" s="38">
        <f>E143</f>
        <v>1631109.53166888</v>
      </c>
      <c r="F142" s="38">
        <f t="shared" ref="F142:G142" si="121">F143</f>
        <v>27408</v>
      </c>
      <c r="G142" s="38">
        <f t="shared" si="121"/>
        <v>0</v>
      </c>
      <c r="H142" s="38">
        <f t="shared" si="70"/>
        <v>1658517.53166888</v>
      </c>
      <c r="I142" s="38">
        <f>I143+I144</f>
        <v>-73945.390070903988</v>
      </c>
      <c r="J142" s="38">
        <f t="shared" ref="J142:L142" si="122">J143+J144</f>
        <v>0</v>
      </c>
      <c r="K142" s="38">
        <f t="shared" si="122"/>
        <v>676000</v>
      </c>
      <c r="L142" s="38">
        <f t="shared" si="122"/>
        <v>0</v>
      </c>
      <c r="M142" s="38">
        <f t="shared" si="101"/>
        <v>2260572.141597976</v>
      </c>
      <c r="N142" s="38">
        <f>N143+N144+N145</f>
        <v>-641060.43398139486</v>
      </c>
      <c r="O142" s="38">
        <f>O143+O144+O145</f>
        <v>0</v>
      </c>
      <c r="P142" s="38">
        <f t="shared" si="77"/>
        <v>1619511.7076165811</v>
      </c>
      <c r="Q142" s="38">
        <f>Q143+Q144+Q145</f>
        <v>1340.9961784053087</v>
      </c>
      <c r="R142" s="38">
        <f t="shared" ref="R142:S142" si="123">R143+R144+R145</f>
        <v>-7193.1035027540684</v>
      </c>
      <c r="S142" s="38">
        <f t="shared" si="123"/>
        <v>0</v>
      </c>
      <c r="T142" s="38">
        <f t="shared" si="120"/>
        <v>1613659.6002922324</v>
      </c>
      <c r="U142" s="38">
        <f t="shared" ref="U142" si="124">U143+U144+U145</f>
        <v>0</v>
      </c>
      <c r="V142" s="38">
        <f t="shared" si="114"/>
        <v>1613659.6002922324</v>
      </c>
    </row>
    <row r="143" spans="1:22" x14ac:dyDescent="0.3">
      <c r="A143" s="16" t="s">
        <v>5</v>
      </c>
      <c r="B143" s="14">
        <v>20</v>
      </c>
      <c r="C143" s="14">
        <v>50</v>
      </c>
      <c r="D143" s="14"/>
      <c r="E143" s="39">
        <f>1630741.53166888+368</f>
        <v>1631109.53166888</v>
      </c>
      <c r="F143" s="39">
        <v>27408</v>
      </c>
      <c r="H143" s="39">
        <f t="shared" si="70"/>
        <v>1658517.53166888</v>
      </c>
      <c r="I143" s="39">
        <v>-73945.390070903988</v>
      </c>
      <c r="J143" s="39"/>
      <c r="K143" s="39"/>
      <c r="L143" s="39"/>
      <c r="M143" s="39">
        <f t="shared" si="101"/>
        <v>1584572.141597976</v>
      </c>
      <c r="N143" s="76">
        <v>8242.6565099312993</v>
      </c>
      <c r="P143" s="39">
        <f t="shared" si="77"/>
        <v>1592814.7981079072</v>
      </c>
      <c r="Q143" s="39">
        <v>1340.9961784053087</v>
      </c>
      <c r="R143" s="50">
        <v>-7193.1035027540684</v>
      </c>
      <c r="T143" s="39">
        <f t="shared" si="120"/>
        <v>1586962.6907835584</v>
      </c>
      <c r="V143" s="39">
        <f t="shared" si="114"/>
        <v>1586962.6907835584</v>
      </c>
    </row>
    <row r="144" spans="1:22" x14ac:dyDescent="0.3">
      <c r="A144" s="16" t="s">
        <v>70</v>
      </c>
      <c r="B144" s="14">
        <v>20</v>
      </c>
      <c r="C144" s="14">
        <v>50</v>
      </c>
      <c r="D144" s="14" t="s">
        <v>66</v>
      </c>
      <c r="E144" s="39"/>
      <c r="F144" s="39"/>
      <c r="H144" s="39"/>
      <c r="I144" s="39"/>
      <c r="J144" s="39"/>
      <c r="K144" s="39">
        <v>676000</v>
      </c>
      <c r="L144" s="39"/>
      <c r="M144" s="39">
        <f t="shared" si="101"/>
        <v>676000</v>
      </c>
      <c r="N144" s="39">
        <v>-676000.00000999996</v>
      </c>
      <c r="P144" s="39">
        <f t="shared" si="77"/>
        <v>-9.9999597296118736E-6</v>
      </c>
      <c r="T144" s="39">
        <f t="shared" si="120"/>
        <v>-9.9999597296118736E-6</v>
      </c>
      <c r="V144" s="39">
        <f t="shared" si="114"/>
        <v>-9.9999597296118736E-6</v>
      </c>
    </row>
    <row r="145" spans="1:22" x14ac:dyDescent="0.3">
      <c r="A145" s="16" t="s">
        <v>83</v>
      </c>
      <c r="B145" s="14">
        <v>10</v>
      </c>
      <c r="C145" s="14">
        <v>50</v>
      </c>
      <c r="D145" s="14" t="s">
        <v>36</v>
      </c>
      <c r="E145" s="39"/>
      <c r="F145" s="39"/>
      <c r="H145" s="39"/>
      <c r="I145" s="39"/>
      <c r="J145" s="39"/>
      <c r="K145" s="39"/>
      <c r="L145" s="39"/>
      <c r="M145" s="39"/>
      <c r="N145" s="76">
        <v>26696.909518673801</v>
      </c>
      <c r="P145" s="39">
        <f t="shared" si="77"/>
        <v>26696.909518673801</v>
      </c>
      <c r="T145" s="39">
        <f t="shared" si="120"/>
        <v>26696.909518673801</v>
      </c>
      <c r="V145" s="39">
        <f t="shared" si="114"/>
        <v>26696.909518673801</v>
      </c>
    </row>
    <row r="146" spans="1:22" x14ac:dyDescent="0.3">
      <c r="A146" s="16"/>
      <c r="B146" s="14"/>
      <c r="C146" s="14"/>
      <c r="D146" s="14"/>
      <c r="E146" s="39"/>
      <c r="H146" s="39"/>
      <c r="I146" s="39"/>
      <c r="J146" s="39"/>
      <c r="K146" s="39"/>
      <c r="L146" s="39"/>
      <c r="M146" s="39">
        <f t="shared" si="101"/>
        <v>0</v>
      </c>
      <c r="P146" s="39">
        <f t="shared" si="77"/>
        <v>0</v>
      </c>
      <c r="T146" s="39">
        <f t="shared" si="120"/>
        <v>0</v>
      </c>
      <c r="V146" s="39">
        <f t="shared" si="114"/>
        <v>0</v>
      </c>
    </row>
    <row r="147" spans="1:22" x14ac:dyDescent="0.3">
      <c r="A147" s="15" t="s">
        <v>34</v>
      </c>
      <c r="B147" s="14"/>
      <c r="C147" s="33"/>
      <c r="D147" s="33"/>
      <c r="E147" s="38">
        <f>E148+E149+E150</f>
        <v>1984565.5093484889</v>
      </c>
      <c r="F147" s="38">
        <f t="shared" ref="F147" si="125">F148+F149+F150</f>
        <v>-39271.937183085043</v>
      </c>
      <c r="G147" s="38">
        <f>G148+G149+G150</f>
        <v>1094208.8204151299</v>
      </c>
      <c r="H147" s="38">
        <f t="shared" si="70"/>
        <v>3039502.3925805334</v>
      </c>
      <c r="I147" s="38">
        <f>I148+I149+I150+I151</f>
        <v>0</v>
      </c>
      <c r="J147" s="38">
        <f>J148+J149+J150+J151</f>
        <v>27472.529621516049</v>
      </c>
      <c r="K147" s="38">
        <f t="shared" ref="K147:L147" si="126">K148+K149+K150+K151</f>
        <v>20000</v>
      </c>
      <c r="L147" s="38">
        <f t="shared" si="126"/>
        <v>0</v>
      </c>
      <c r="M147" s="38">
        <f t="shared" si="101"/>
        <v>3086974.9222020493</v>
      </c>
      <c r="N147" s="38">
        <f>N148+N149+N150+N151+N152+N153</f>
        <v>-262401.44014766964</v>
      </c>
      <c r="O147" s="38">
        <f>O148+O149+O150+O151+O152+O153</f>
        <v>583853.86699082702</v>
      </c>
      <c r="P147" s="38">
        <f t="shared" si="77"/>
        <v>3408427.3490452068</v>
      </c>
      <c r="Q147" s="38">
        <f>Q148+Q149+Q150+Q151+Q152+Q153</f>
        <v>-127531.26304238959</v>
      </c>
      <c r="R147" s="38">
        <f t="shared" ref="R147:S147" si="127">R148+R149+R150+R151+R152+R153</f>
        <v>0</v>
      </c>
      <c r="S147" s="38">
        <f t="shared" si="127"/>
        <v>-462351.84376488224</v>
      </c>
      <c r="T147" s="38">
        <f t="shared" si="120"/>
        <v>2818544.2422379353</v>
      </c>
      <c r="U147" s="38">
        <f t="shared" ref="U147" si="128">U148+U149+U150+U151+U152+U153</f>
        <v>20289.069312659281</v>
      </c>
      <c r="V147" s="38">
        <f t="shared" si="114"/>
        <v>2838833.3115505944</v>
      </c>
    </row>
    <row r="148" spans="1:22" x14ac:dyDescent="0.3">
      <c r="A148" s="16" t="s">
        <v>8</v>
      </c>
      <c r="B148" s="14">
        <v>20</v>
      </c>
      <c r="C148" s="14">
        <v>55</v>
      </c>
      <c r="D148" s="14"/>
      <c r="E148" s="39">
        <v>1801253.6696910199</v>
      </c>
      <c r="F148" s="39">
        <v>-35494.756191774097</v>
      </c>
      <c r="G148" s="39">
        <v>688668.82041513</v>
      </c>
      <c r="H148" s="39">
        <f t="shared" ref="H148:H164" si="129">E148+F148+G148</f>
        <v>2454427.7339143758</v>
      </c>
      <c r="I148" s="39"/>
      <c r="J148" s="39">
        <v>27472.529621516049</v>
      </c>
      <c r="K148" s="39"/>
      <c r="L148" s="39"/>
      <c r="M148" s="39">
        <f t="shared" si="101"/>
        <v>2481900.2635358917</v>
      </c>
      <c r="N148" s="76">
        <v>-187157.994951614</v>
      </c>
      <c r="P148" s="39">
        <f t="shared" si="77"/>
        <v>2294742.2685842775</v>
      </c>
      <c r="Q148" s="39">
        <v>-127531.26304238959</v>
      </c>
      <c r="R148" s="39"/>
      <c r="S148" s="50">
        <v>-465289.65120256855</v>
      </c>
      <c r="T148" s="39">
        <f t="shared" si="120"/>
        <v>1701921.3543393195</v>
      </c>
      <c r="U148" s="50">
        <v>7920.9</v>
      </c>
      <c r="V148" s="39">
        <f t="shared" si="114"/>
        <v>1709842.2543393194</v>
      </c>
    </row>
    <row r="149" spans="1:22" x14ac:dyDescent="0.3">
      <c r="A149" s="16" t="s">
        <v>9</v>
      </c>
      <c r="B149" s="14">
        <v>20</v>
      </c>
      <c r="C149" s="14">
        <v>55</v>
      </c>
      <c r="D149" s="14" t="s">
        <v>10</v>
      </c>
      <c r="E149" s="39">
        <v>183311.83965746901</v>
      </c>
      <c r="F149" s="39">
        <v>-3777.18099131095</v>
      </c>
      <c r="H149" s="39">
        <f>E149+F149+G149</f>
        <v>179534.65866615807</v>
      </c>
      <c r="I149" s="39"/>
      <c r="J149" s="39"/>
      <c r="K149" s="39"/>
      <c r="L149" s="39"/>
      <c r="M149" s="39">
        <f t="shared" si="101"/>
        <v>179534.65866615807</v>
      </c>
      <c r="P149" s="39">
        <f t="shared" si="77"/>
        <v>179534.65866615807</v>
      </c>
      <c r="S149" s="79">
        <v>2937.8074376862915</v>
      </c>
      <c r="T149" s="39">
        <f t="shared" si="120"/>
        <v>182472.46610384434</v>
      </c>
      <c r="U149" s="50">
        <v>12368.169312659284</v>
      </c>
      <c r="V149" s="39">
        <f t="shared" si="114"/>
        <v>194840.63541650362</v>
      </c>
    </row>
    <row r="150" spans="1:22" x14ac:dyDescent="0.3">
      <c r="A150" s="16" t="s">
        <v>55</v>
      </c>
      <c r="B150" s="14">
        <v>20</v>
      </c>
      <c r="C150" s="14">
        <v>55</v>
      </c>
      <c r="D150" s="14" t="s">
        <v>56</v>
      </c>
      <c r="E150" s="39">
        <v>0</v>
      </c>
      <c r="F150" s="39"/>
      <c r="G150" s="39">
        <v>405540</v>
      </c>
      <c r="H150" s="39">
        <f>E150+F150+G150</f>
        <v>405540</v>
      </c>
      <c r="I150" s="39"/>
      <c r="J150" s="39"/>
      <c r="K150" s="39"/>
      <c r="L150" s="39"/>
      <c r="M150" s="39">
        <f t="shared" si="101"/>
        <v>405540</v>
      </c>
      <c r="P150" s="39">
        <f t="shared" si="77"/>
        <v>405540</v>
      </c>
      <c r="T150" s="39">
        <f t="shared" si="120"/>
        <v>405540</v>
      </c>
      <c r="V150" s="39">
        <f t="shared" si="114"/>
        <v>405540</v>
      </c>
    </row>
    <row r="151" spans="1:22" x14ac:dyDescent="0.3">
      <c r="A151" s="16" t="s">
        <v>8</v>
      </c>
      <c r="B151" s="14">
        <v>20</v>
      </c>
      <c r="C151" s="14">
        <v>55</v>
      </c>
      <c r="D151" s="14" t="s">
        <v>66</v>
      </c>
      <c r="E151" s="39"/>
      <c r="F151" s="39"/>
      <c r="G151" s="39"/>
      <c r="H151" s="39"/>
      <c r="I151" s="39"/>
      <c r="J151" s="39"/>
      <c r="K151" s="39">
        <v>20000</v>
      </c>
      <c r="L151" s="39"/>
      <c r="M151" s="39">
        <f t="shared" si="101"/>
        <v>20000</v>
      </c>
      <c r="P151" s="39">
        <f t="shared" si="77"/>
        <v>20000</v>
      </c>
      <c r="T151" s="39">
        <f t="shared" si="120"/>
        <v>20000</v>
      </c>
      <c r="V151" s="39">
        <f t="shared" si="114"/>
        <v>20000</v>
      </c>
    </row>
    <row r="152" spans="1:22" x14ac:dyDescent="0.3">
      <c r="A152" s="16" t="s">
        <v>84</v>
      </c>
      <c r="B152" s="14">
        <v>20</v>
      </c>
      <c r="C152" s="14">
        <v>55</v>
      </c>
      <c r="D152" s="14" t="s">
        <v>85</v>
      </c>
      <c r="E152" s="39"/>
      <c r="F152" s="39"/>
      <c r="G152" s="39"/>
      <c r="H152" s="39"/>
      <c r="I152" s="39"/>
      <c r="J152" s="39"/>
      <c r="K152" s="39"/>
      <c r="L152" s="39"/>
      <c r="M152" s="39"/>
      <c r="N152" s="76">
        <v>-75243.445196055603</v>
      </c>
      <c r="O152" s="76">
        <v>375833.86699082702</v>
      </c>
      <c r="P152" s="39">
        <f t="shared" si="77"/>
        <v>300590.42179477145</v>
      </c>
      <c r="T152" s="39">
        <f t="shared" si="120"/>
        <v>300590.42179477145</v>
      </c>
      <c r="V152" s="39">
        <f t="shared" si="114"/>
        <v>300590.42179477145</v>
      </c>
    </row>
    <row r="153" spans="1:22" x14ac:dyDescent="0.3">
      <c r="A153" s="16" t="s">
        <v>88</v>
      </c>
      <c r="B153" s="14">
        <v>20</v>
      </c>
      <c r="C153" s="14">
        <v>55</v>
      </c>
      <c r="D153" s="14" t="s">
        <v>89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76">
        <v>208020</v>
      </c>
      <c r="P153" s="39">
        <f t="shared" si="77"/>
        <v>208020</v>
      </c>
      <c r="T153" s="39">
        <f t="shared" si="120"/>
        <v>208020</v>
      </c>
      <c r="V153" s="39">
        <f t="shared" si="114"/>
        <v>208020</v>
      </c>
    </row>
    <row r="154" spans="1:22" x14ac:dyDescent="0.3">
      <c r="A154" s="34"/>
      <c r="B154" s="35"/>
      <c r="C154" s="35"/>
      <c r="D154" s="34"/>
      <c r="E154" s="39"/>
      <c r="H154" s="39"/>
      <c r="I154" s="39"/>
      <c r="J154" s="39"/>
      <c r="K154" s="39"/>
      <c r="L154" s="39"/>
      <c r="M154" s="39">
        <f t="shared" si="101"/>
        <v>0</v>
      </c>
      <c r="P154" s="39">
        <f t="shared" si="77"/>
        <v>0</v>
      </c>
      <c r="T154" s="39">
        <f t="shared" si="120"/>
        <v>0</v>
      </c>
      <c r="V154" s="39">
        <f t="shared" si="114"/>
        <v>0</v>
      </c>
    </row>
    <row r="155" spans="1:22" x14ac:dyDescent="0.3">
      <c r="A155" s="15" t="s">
        <v>12</v>
      </c>
      <c r="B155" s="14">
        <v>60</v>
      </c>
      <c r="C155" s="33">
        <v>610</v>
      </c>
      <c r="D155" s="34"/>
      <c r="E155" s="38">
        <v>165</v>
      </c>
      <c r="F155" s="38"/>
      <c r="G155" s="38"/>
      <c r="H155" s="38">
        <f t="shared" si="129"/>
        <v>165</v>
      </c>
      <c r="I155" s="38"/>
      <c r="J155" s="38"/>
      <c r="K155" s="38"/>
      <c r="L155" s="38"/>
      <c r="M155" s="38">
        <f t="shared" si="101"/>
        <v>165</v>
      </c>
      <c r="P155" s="38">
        <f t="shared" si="77"/>
        <v>165</v>
      </c>
      <c r="T155" s="38">
        <f t="shared" si="120"/>
        <v>165</v>
      </c>
      <c r="V155" s="38">
        <f t="shared" si="114"/>
        <v>165</v>
      </c>
    </row>
    <row r="156" spans="1:22" x14ac:dyDescent="0.3">
      <c r="A156" s="15"/>
      <c r="B156" s="14"/>
      <c r="C156" s="33"/>
      <c r="D156" s="34"/>
      <c r="E156" s="40"/>
      <c r="H156" s="39"/>
      <c r="I156" s="39"/>
      <c r="J156" s="39"/>
      <c r="K156" s="39"/>
      <c r="L156" s="39"/>
      <c r="M156" s="39">
        <f t="shared" si="101"/>
        <v>0</v>
      </c>
      <c r="P156" s="39">
        <f t="shared" si="77"/>
        <v>0</v>
      </c>
      <c r="T156" s="39">
        <f t="shared" si="120"/>
        <v>0</v>
      </c>
      <c r="V156" s="39">
        <f t="shared" si="114"/>
        <v>0</v>
      </c>
    </row>
    <row r="157" spans="1:22" ht="15.5" x14ac:dyDescent="0.35">
      <c r="A157" s="8" t="s">
        <v>11</v>
      </c>
      <c r="B157" s="45"/>
      <c r="C157" s="46"/>
      <c r="D157" s="47"/>
      <c r="E157" s="37">
        <f>E158+E159+E160+E161+E163+E164</f>
        <v>1353277</v>
      </c>
      <c r="F157" s="37">
        <f t="shared" ref="F157:G157" si="130">F158+F159+F160+F161+F163+F164</f>
        <v>0</v>
      </c>
      <c r="G157" s="37">
        <f t="shared" si="130"/>
        <v>0</v>
      </c>
      <c r="H157" s="37">
        <f t="shared" si="129"/>
        <v>1353277</v>
      </c>
      <c r="I157" s="37">
        <f>I158+I159+I160+I161+I163+I164+I165+I162+I171</f>
        <v>0</v>
      </c>
      <c r="J157" s="37">
        <f>J158+J159+J160+J161+J163+J164+J165+J162+J171</f>
        <v>0</v>
      </c>
      <c r="K157" s="37">
        <f>K158+K159+K160+K161+K163+K164+K165+K162+K171</f>
        <v>953299</v>
      </c>
      <c r="L157" s="37">
        <f>L158+L159+L160+L161+L163+L164+L165+L162+L171</f>
        <v>0</v>
      </c>
      <c r="M157" s="37">
        <f>H157+I157+J157+K157+L157</f>
        <v>2306576</v>
      </c>
      <c r="P157" s="37">
        <f t="shared" si="77"/>
        <v>2306576</v>
      </c>
      <c r="T157" s="37">
        <f t="shared" si="120"/>
        <v>2306576</v>
      </c>
      <c r="V157" s="37">
        <f t="shared" si="114"/>
        <v>2306576</v>
      </c>
    </row>
    <row r="158" spans="1:22" x14ac:dyDescent="0.3">
      <c r="A158" s="48" t="s">
        <v>11</v>
      </c>
      <c r="B158" s="14">
        <v>10</v>
      </c>
      <c r="C158" s="28">
        <v>601</v>
      </c>
      <c r="D158" s="46"/>
      <c r="E158" s="49">
        <v>753660</v>
      </c>
      <c r="H158" s="39">
        <f t="shared" si="129"/>
        <v>753660</v>
      </c>
      <c r="I158" s="39"/>
      <c r="J158" s="39"/>
      <c r="K158" s="39"/>
      <c r="L158" s="39"/>
      <c r="M158" s="39">
        <f t="shared" si="101"/>
        <v>753660</v>
      </c>
      <c r="P158" s="39">
        <f t="shared" si="77"/>
        <v>753660</v>
      </c>
      <c r="T158" s="39">
        <f t="shared" si="120"/>
        <v>753660</v>
      </c>
      <c r="V158" s="39">
        <f t="shared" si="114"/>
        <v>753660</v>
      </c>
    </row>
    <row r="159" spans="1:22" x14ac:dyDescent="0.3">
      <c r="A159" s="12" t="s">
        <v>35</v>
      </c>
      <c r="B159" s="14">
        <v>10</v>
      </c>
      <c r="C159" s="28">
        <v>601</v>
      </c>
      <c r="D159" s="14" t="s">
        <v>10</v>
      </c>
      <c r="E159" s="50">
        <v>174712</v>
      </c>
      <c r="H159" s="39">
        <f t="shared" si="129"/>
        <v>174712</v>
      </c>
      <c r="I159" s="39"/>
      <c r="J159" s="39"/>
      <c r="K159" s="39"/>
      <c r="L159" s="39"/>
      <c r="M159" s="39">
        <f t="shared" si="101"/>
        <v>174712</v>
      </c>
      <c r="P159" s="39">
        <f t="shared" si="77"/>
        <v>174712</v>
      </c>
      <c r="T159" s="39">
        <f t="shared" si="120"/>
        <v>174712</v>
      </c>
      <c r="V159" s="39">
        <f t="shared" si="114"/>
        <v>174712</v>
      </c>
    </row>
    <row r="160" spans="1:22" x14ac:dyDescent="0.3">
      <c r="A160" s="12" t="s">
        <v>51</v>
      </c>
      <c r="B160" s="14">
        <v>40</v>
      </c>
      <c r="C160" s="28">
        <v>601</v>
      </c>
      <c r="D160" s="33"/>
      <c r="E160" s="49">
        <v>142426</v>
      </c>
      <c r="H160" s="39">
        <f t="shared" si="129"/>
        <v>142426</v>
      </c>
      <c r="I160" s="39"/>
      <c r="J160" s="39"/>
      <c r="K160" s="39"/>
      <c r="L160" s="39"/>
      <c r="M160" s="39">
        <f t="shared" si="101"/>
        <v>142426</v>
      </c>
      <c r="P160" s="39">
        <f t="shared" ref="P160:P171" si="131">M160+N160+O160</f>
        <v>142426</v>
      </c>
      <c r="T160" s="39">
        <f t="shared" si="120"/>
        <v>142426</v>
      </c>
      <c r="V160" s="39">
        <f t="shared" si="114"/>
        <v>142426</v>
      </c>
    </row>
    <row r="161" spans="1:22" s="51" customFormat="1" x14ac:dyDescent="0.3">
      <c r="A161" s="51" t="s">
        <v>42</v>
      </c>
      <c r="B161" s="52">
        <v>10</v>
      </c>
      <c r="C161" s="52">
        <v>601</v>
      </c>
      <c r="D161" s="52"/>
      <c r="E161" s="53">
        <v>32397</v>
      </c>
      <c r="H161" s="39">
        <f t="shared" si="129"/>
        <v>32397</v>
      </c>
      <c r="I161" s="39"/>
      <c r="J161" s="39"/>
      <c r="K161" s="39"/>
      <c r="L161" s="39"/>
      <c r="M161" s="39">
        <f t="shared" si="101"/>
        <v>32397</v>
      </c>
      <c r="P161" s="39">
        <f t="shared" si="131"/>
        <v>32397</v>
      </c>
      <c r="T161" s="39">
        <f t="shared" si="120"/>
        <v>32397</v>
      </c>
      <c r="V161" s="39">
        <f t="shared" si="114"/>
        <v>32397</v>
      </c>
    </row>
    <row r="162" spans="1:22" s="51" customFormat="1" x14ac:dyDescent="0.3">
      <c r="A162" s="71" t="s">
        <v>69</v>
      </c>
      <c r="B162" s="58">
        <v>10</v>
      </c>
      <c r="C162" s="58">
        <v>601</v>
      </c>
      <c r="D162" s="28" t="s">
        <v>66</v>
      </c>
      <c r="E162" s="71"/>
      <c r="F162" s="1"/>
      <c r="G162" s="1"/>
      <c r="H162" s="1"/>
      <c r="I162" s="1"/>
      <c r="J162" s="1"/>
      <c r="K162" s="65">
        <v>22167</v>
      </c>
      <c r="L162" s="1"/>
      <c r="M162" s="39">
        <f>H162+I162+J162+K162+L162</f>
        <v>22167</v>
      </c>
      <c r="P162" s="39">
        <f t="shared" si="131"/>
        <v>22167</v>
      </c>
      <c r="T162" s="39">
        <f t="shared" si="120"/>
        <v>22167</v>
      </c>
      <c r="V162" s="39">
        <f t="shared" si="114"/>
        <v>22167</v>
      </c>
    </row>
    <row r="163" spans="1:22" s="51" customFormat="1" x14ac:dyDescent="0.3">
      <c r="A163" s="51" t="s">
        <v>46</v>
      </c>
      <c r="B163" s="58">
        <v>10</v>
      </c>
      <c r="C163" s="58">
        <v>601</v>
      </c>
      <c r="D163" s="52"/>
      <c r="E163" s="53">
        <v>241372</v>
      </c>
      <c r="H163" s="39">
        <f t="shared" si="129"/>
        <v>241372</v>
      </c>
      <c r="I163" s="39"/>
      <c r="J163" s="39"/>
      <c r="K163" s="39"/>
      <c r="L163" s="39"/>
      <c r="M163" s="39">
        <f t="shared" si="101"/>
        <v>241372</v>
      </c>
      <c r="P163" s="39">
        <f t="shared" si="131"/>
        <v>241372</v>
      </c>
      <c r="T163" s="39">
        <f t="shared" si="120"/>
        <v>241372</v>
      </c>
      <c r="V163" s="39">
        <f t="shared" si="114"/>
        <v>241372</v>
      </c>
    </row>
    <row r="164" spans="1:22" s="51" customFormat="1" x14ac:dyDescent="0.3">
      <c r="A164" s="51" t="s">
        <v>47</v>
      </c>
      <c r="B164" s="58">
        <v>10</v>
      </c>
      <c r="C164" s="58">
        <v>601</v>
      </c>
      <c r="D164" s="52"/>
      <c r="E164" s="65">
        <v>8710</v>
      </c>
      <c r="H164" s="39">
        <f t="shared" si="129"/>
        <v>8710</v>
      </c>
      <c r="I164" s="39"/>
      <c r="J164" s="39"/>
      <c r="K164" s="39"/>
      <c r="L164" s="39"/>
      <c r="M164" s="39">
        <f t="shared" si="101"/>
        <v>8710</v>
      </c>
      <c r="P164" s="39">
        <f t="shared" si="131"/>
        <v>8710</v>
      </c>
      <c r="T164" s="39">
        <f t="shared" si="120"/>
        <v>8710</v>
      </c>
      <c r="V164" s="39">
        <f t="shared" si="114"/>
        <v>8710</v>
      </c>
    </row>
    <row r="165" spans="1:22" s="51" customFormat="1" x14ac:dyDescent="0.3">
      <c r="A165" s="51" t="s">
        <v>81</v>
      </c>
      <c r="B165" s="58"/>
      <c r="C165" s="58"/>
      <c r="D165" s="52"/>
      <c r="E165" s="73"/>
      <c r="F165" s="72"/>
      <c r="G165" s="72"/>
      <c r="H165" s="40"/>
      <c r="I165" s="40"/>
      <c r="J165" s="40"/>
      <c r="K165" s="65">
        <f>K166+K167+K168+K169+K170</f>
        <v>789032</v>
      </c>
      <c r="L165" s="40"/>
      <c r="M165" s="39">
        <f t="shared" si="101"/>
        <v>789032</v>
      </c>
      <c r="P165" s="39">
        <f t="shared" si="131"/>
        <v>789032</v>
      </c>
      <c r="T165" s="39">
        <f t="shared" si="120"/>
        <v>789032</v>
      </c>
      <c r="V165" s="39">
        <f t="shared" si="114"/>
        <v>789032</v>
      </c>
    </row>
    <row r="166" spans="1:22" s="78" customFormat="1" x14ac:dyDescent="0.3">
      <c r="A166" s="67" t="s">
        <v>72</v>
      </c>
      <c r="B166" s="68">
        <v>10</v>
      </c>
      <c r="C166" s="68">
        <v>601001</v>
      </c>
      <c r="D166" s="68" t="s">
        <v>66</v>
      </c>
      <c r="E166" s="69">
        <v>0</v>
      </c>
      <c r="F166" s="70"/>
      <c r="G166" s="70"/>
      <c r="H166" s="69"/>
      <c r="I166" s="69"/>
      <c r="J166" s="69"/>
      <c r="K166" s="69">
        <v>409032</v>
      </c>
      <c r="L166" s="69"/>
      <c r="M166" s="69">
        <f t="shared" ref="M166:M171" si="132">H166+I166+J166+K166+L166</f>
        <v>409032</v>
      </c>
      <c r="P166" s="69">
        <f t="shared" si="131"/>
        <v>409032</v>
      </c>
      <c r="T166" s="69">
        <f t="shared" si="120"/>
        <v>409032</v>
      </c>
      <c r="V166" s="69">
        <f t="shared" si="114"/>
        <v>409032</v>
      </c>
    </row>
    <row r="167" spans="1:22" s="70" customFormat="1" x14ac:dyDescent="0.3">
      <c r="A167" s="67" t="s">
        <v>72</v>
      </c>
      <c r="B167" s="68">
        <v>10</v>
      </c>
      <c r="C167" s="68">
        <v>601002</v>
      </c>
      <c r="D167" s="68" t="s">
        <v>77</v>
      </c>
      <c r="E167" s="69">
        <v>0</v>
      </c>
      <c r="H167" s="69"/>
      <c r="I167" s="69"/>
      <c r="J167" s="69"/>
      <c r="K167" s="69">
        <v>24000</v>
      </c>
      <c r="L167" s="69"/>
      <c r="M167" s="69">
        <f t="shared" si="132"/>
        <v>24000</v>
      </c>
      <c r="P167" s="69">
        <f t="shared" si="131"/>
        <v>24000</v>
      </c>
      <c r="T167" s="69">
        <f t="shared" si="120"/>
        <v>24000</v>
      </c>
      <c r="V167" s="69">
        <f t="shared" si="114"/>
        <v>24000</v>
      </c>
    </row>
    <row r="168" spans="1:22" s="70" customFormat="1" x14ac:dyDescent="0.3">
      <c r="A168" s="67" t="s">
        <v>72</v>
      </c>
      <c r="B168" s="68">
        <v>10</v>
      </c>
      <c r="C168" s="68">
        <v>601002</v>
      </c>
      <c r="D168" s="68" t="s">
        <v>78</v>
      </c>
      <c r="E168" s="69">
        <v>0</v>
      </c>
      <c r="H168" s="69"/>
      <c r="I168" s="69">
        <v>0</v>
      </c>
      <c r="J168" s="69"/>
      <c r="K168" s="69">
        <v>209000</v>
      </c>
      <c r="L168" s="69"/>
      <c r="M168" s="69">
        <f t="shared" si="132"/>
        <v>209000</v>
      </c>
      <c r="P168" s="69">
        <f t="shared" si="131"/>
        <v>209000</v>
      </c>
      <c r="T168" s="69">
        <f t="shared" si="120"/>
        <v>209000</v>
      </c>
      <c r="V168" s="69">
        <f t="shared" si="114"/>
        <v>209000</v>
      </c>
    </row>
    <row r="169" spans="1:22" s="70" customFormat="1" x14ac:dyDescent="0.3">
      <c r="A169" s="67" t="s">
        <v>72</v>
      </c>
      <c r="B169" s="68">
        <v>10</v>
      </c>
      <c r="C169" s="68">
        <v>601002</v>
      </c>
      <c r="D169" s="68" t="s">
        <v>79</v>
      </c>
      <c r="E169" s="69">
        <v>0</v>
      </c>
      <c r="H169" s="69"/>
      <c r="I169" s="69">
        <v>0</v>
      </c>
      <c r="J169" s="69"/>
      <c r="K169" s="69">
        <v>27000</v>
      </c>
      <c r="L169" s="69"/>
      <c r="M169" s="69">
        <f t="shared" si="132"/>
        <v>27000</v>
      </c>
      <c r="P169" s="69">
        <f t="shared" si="131"/>
        <v>27000</v>
      </c>
      <c r="T169" s="69">
        <f t="shared" si="120"/>
        <v>27000</v>
      </c>
      <c r="V169" s="69">
        <f t="shared" si="114"/>
        <v>27000</v>
      </c>
    </row>
    <row r="170" spans="1:22" s="70" customFormat="1" x14ac:dyDescent="0.3">
      <c r="A170" s="67" t="s">
        <v>72</v>
      </c>
      <c r="B170" s="68">
        <v>10</v>
      </c>
      <c r="C170" s="68">
        <v>601002</v>
      </c>
      <c r="D170" s="68" t="s">
        <v>80</v>
      </c>
      <c r="E170" s="69"/>
      <c r="H170" s="69"/>
      <c r="I170" s="69">
        <v>0</v>
      </c>
      <c r="J170" s="69"/>
      <c r="K170" s="69">
        <v>120000</v>
      </c>
      <c r="L170" s="69"/>
      <c r="M170" s="69">
        <f t="shared" si="132"/>
        <v>120000</v>
      </c>
      <c r="P170" s="69">
        <f t="shared" si="131"/>
        <v>120000</v>
      </c>
      <c r="T170" s="69">
        <f t="shared" si="120"/>
        <v>120000</v>
      </c>
      <c r="V170" s="69">
        <f t="shared" si="114"/>
        <v>120000</v>
      </c>
    </row>
    <row r="171" spans="1:22" x14ac:dyDescent="0.3">
      <c r="A171" s="48" t="s">
        <v>11</v>
      </c>
      <c r="B171" s="14">
        <v>10</v>
      </c>
      <c r="C171" s="28">
        <v>601</v>
      </c>
      <c r="D171" s="14" t="s">
        <v>66</v>
      </c>
      <c r="K171" s="49">
        <v>142100</v>
      </c>
      <c r="M171" s="39">
        <f t="shared" si="132"/>
        <v>142100</v>
      </c>
      <c r="P171" s="39">
        <f t="shared" si="131"/>
        <v>142100</v>
      </c>
      <c r="T171" s="39">
        <f t="shared" si="120"/>
        <v>142100</v>
      </c>
      <c r="V171" s="39">
        <f t="shared" si="114"/>
        <v>142100</v>
      </c>
    </row>
  </sheetData>
  <dataConsolidate/>
  <pageMargins left="0.7" right="0.7" top="0.75" bottom="0.75" header="0.3" footer="0.3"/>
  <pageSetup paperSize="9" scale="74" fitToHeight="0" orientation="landscape" r:id="rId1"/>
  <ignoredErrors>
    <ignoredError sqref="T6:T17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Justiitsministeerium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2022-04-06T13:57:40Z</cp:lastPrinted>
  <dcterms:created xsi:type="dcterms:W3CDTF">2021-12-14T12:38:30Z</dcterms:created>
  <dcterms:modified xsi:type="dcterms:W3CDTF">2023-02-03T09:42:59Z</dcterms:modified>
</cp:coreProperties>
</file>